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showInkAnnotation="0" codeName="ThisWorkbook" defaultThemeVersion="124226"/>
  <mc:AlternateContent xmlns:mc="http://schemas.openxmlformats.org/markup-compatibility/2006">
    <mc:Choice Requires="x15">
      <x15ac:absPath xmlns:x15ac="http://schemas.microsoft.com/office/spreadsheetml/2010/11/ac" url="C:\Users\pirih.DESKTOP-3LVR18A\Documents\VILA RAFUT - GOI\"/>
    </mc:Choice>
  </mc:AlternateContent>
  <xr:revisionPtr revIDLastSave="0" documentId="8_{800F7271-D68C-4BA6-870D-81EA80FBC9C7}" xr6:coauthVersionLast="47" xr6:coauthVersionMax="47" xr10:uidLastSave="{00000000-0000-0000-0000-000000000000}"/>
  <bookViews>
    <workbookView xWindow="-120" yWindow="-120" windowWidth="29040" windowHeight="15840" tabRatio="878" xr2:uid="{00000000-000D-0000-FFFF-FFFF00000000}"/>
  </bookViews>
  <sheets>
    <sheet name="Rekapitulacija" sheetId="1" r:id="rId1"/>
    <sheet name="SPLOŠNE OPOMBE" sheetId="2" r:id="rId2"/>
    <sheet name="1 Pripravljalna dela in tuje st" sheetId="3" r:id="rId3"/>
    <sheet name="2 Tlaki" sheetId="4" r:id="rId4"/>
    <sheet name="3. Ureditve" sheetId="5" r:id="rId5"/>
    <sheet name="4. Oprema" sheetId="6" r:id="rId6"/>
    <sheet name="5. Restavratorska dela" sheetId="7" r:id="rId7"/>
    <sheet name="6.1 Vegetacija - Odstranitve" sheetId="8" r:id="rId8"/>
    <sheet name="6.2 Vegetacija - Vzdrževanje" sheetId="9" r:id="rId9"/>
    <sheet name="6.3 Vegetacija - Zasaditev" sheetId="10" r:id="rId10"/>
    <sheet name="Kanalizacija- S1" sheetId="11" r:id="rId11"/>
    <sheet name="Kanalizacija- S2" sheetId="12" r:id="rId12"/>
    <sheet name="Kanalizacija- S2.1" sheetId="13" r:id="rId13"/>
    <sheet name="Kanalizacija - S3" sheetId="14" r:id="rId14"/>
    <sheet name="Kanalizacija - S4" sheetId="15" r:id="rId15"/>
    <sheet name="Kanalizacija - S5" sheetId="16" r:id="rId16"/>
    <sheet name="Kanalizacija - M3" sheetId="17" r:id="rId17"/>
    <sheet name="Vodovod" sheetId="24" r:id="rId18"/>
    <sheet name="NN priključek" sheetId="19" r:id="rId19"/>
    <sheet name="ELEKTRO NN+ZR" sheetId="20" r:id="rId20"/>
    <sheet name="TK" sheetId="21" r:id="rId21"/>
    <sheet name="VIDEO" sheetId="22" r:id="rId22"/>
    <sheet name="Info" sheetId="23" r:id="rId23"/>
  </sheets>
  <externalReferences>
    <externalReference r:id="rId24"/>
  </externalReferences>
  <definedNames>
    <definedName name="_xlnm.Print_Area" localSheetId="2">'1 Pripravljalna dela in tuje st'!$A$1:$I$76</definedName>
    <definedName name="_xlnm.Print_Area" localSheetId="3">'2 Tlaki'!$A$1:$H$175</definedName>
    <definedName name="_xlnm.Print_Area" localSheetId="4">'3. Ureditve'!$A$1:$F$382</definedName>
    <definedName name="_xlnm.Print_Area" localSheetId="5">'4. Oprema'!$A$1:$G$159</definedName>
    <definedName name="_xlnm.Print_Area" localSheetId="6">'5. Restavratorska dela'!$A$1:$F$57</definedName>
    <definedName name="_xlnm.Print_Area" localSheetId="7">'6.1 Vegetacija - Odstranitve'!$A$1:$F$48</definedName>
    <definedName name="_xlnm.Print_Area" localSheetId="8">'6.2 Vegetacija - Vzdrževanje'!$A$1:$F$37</definedName>
    <definedName name="_xlnm.Print_Area" localSheetId="9">'6.3 Vegetacija - Zasaditev'!$A$1:$F$300</definedName>
    <definedName name="_xlnm.Print_Area" localSheetId="19">'ELEKTRO NN+ZR'!$A$1:$H$258</definedName>
    <definedName name="_xlnm.Print_Area" localSheetId="22">Info!$A$1:$B$6</definedName>
    <definedName name="_xlnm.Print_Area" localSheetId="16">'Kanalizacija - M3'!$A$1:$F$20</definedName>
    <definedName name="_xlnm.Print_Area" localSheetId="13">'Kanalizacija - S3'!$A$1:$F$100</definedName>
    <definedName name="_xlnm.Print_Area" localSheetId="14">'Kanalizacija - S4'!$A$1:$F$93</definedName>
    <definedName name="_xlnm.Print_Area" localSheetId="15">'Kanalizacija - S5'!$A$1:$F$93</definedName>
    <definedName name="_xlnm.Print_Area" localSheetId="10">'Kanalizacija- S1'!$A$1:$H$130</definedName>
    <definedName name="_xlnm.Print_Area" localSheetId="11">'Kanalizacija- S2'!$A$1:$F$113</definedName>
    <definedName name="_xlnm.Print_Area" localSheetId="12">'Kanalizacija- S2.1'!$A$1:$F$93</definedName>
    <definedName name="_xlnm.Print_Area" localSheetId="0">Rekapitulacija!$A$1:$H$80</definedName>
    <definedName name="_xlnm.Print_Area" localSheetId="1">'SPLOŠNE OPOMBE'!$A$1:$B$41</definedName>
    <definedName name="_xlnm.Print_Area" localSheetId="20">TK!$A$1:$F$27</definedName>
    <definedName name="_xlnm.Print_Area" localSheetId="21">VIDEO!$A$1:$F$38</definedName>
    <definedName name="_xlnm.Print_Area" localSheetId="17">Vodovod!$A$1:$G$375</definedName>
    <definedName name="SU_MONTDELA" localSheetId="17">Vodovod!#REF!</definedName>
    <definedName name="SU_NABAVAMAT" localSheetId="17">Vodovod!#REF!</definedName>
    <definedName name="SU_ZEMDELA" localSheetId="17">Vodovod!#REF!</definedName>
    <definedName name="Z_14FA32B8_8DA0_4B39_A6E2_254F8891DDCC_.wvu.Cols" localSheetId="0" hidden="1">Rekapitulacija!$E:$E</definedName>
    <definedName name="Z_14FA32B8_8DA0_4B39_A6E2_254F8891DDCC_.wvu.Cols" localSheetId="17" hidden="1">Vodovod!#REF!</definedName>
    <definedName name="Z_14FA32B8_8DA0_4B39_A6E2_254F8891DDCC_.wvu.PrintArea" localSheetId="2" hidden="1">'1 Pripravljalna dela in tuje st'!$A$1:$I$76</definedName>
    <definedName name="Z_14FA32B8_8DA0_4B39_A6E2_254F8891DDCC_.wvu.PrintArea" localSheetId="3" hidden="1">'2 Tlaki'!$A$1:$H$175</definedName>
    <definedName name="Z_14FA32B8_8DA0_4B39_A6E2_254F8891DDCC_.wvu.PrintArea" localSheetId="4" hidden="1">'3. Ureditve'!$A$1:$F$382</definedName>
    <definedName name="Z_14FA32B8_8DA0_4B39_A6E2_254F8891DDCC_.wvu.PrintArea" localSheetId="5" hidden="1">'4. Oprema'!$A$1:$F$159</definedName>
    <definedName name="Z_14FA32B8_8DA0_4B39_A6E2_254F8891DDCC_.wvu.PrintArea" localSheetId="6" hidden="1">'5. Restavratorska dela'!$A$1:$F$57</definedName>
    <definedName name="Z_14FA32B8_8DA0_4B39_A6E2_254F8891DDCC_.wvu.PrintArea" localSheetId="7" hidden="1">'6.1 Vegetacija - Odstranitve'!$A$1:$F$48</definedName>
    <definedName name="Z_14FA32B8_8DA0_4B39_A6E2_254F8891DDCC_.wvu.PrintArea" localSheetId="8" hidden="1">'6.2 Vegetacija - Vzdrževanje'!$A$1:$F$37</definedName>
    <definedName name="Z_14FA32B8_8DA0_4B39_A6E2_254F8891DDCC_.wvu.PrintArea" localSheetId="9" hidden="1">'6.3 Vegetacija - Zasaditev'!$A$1:$F$300</definedName>
    <definedName name="Z_14FA32B8_8DA0_4B39_A6E2_254F8891DDCC_.wvu.PrintArea" localSheetId="22" hidden="1">Info!$A$1:$B$6</definedName>
    <definedName name="Z_14FA32B8_8DA0_4B39_A6E2_254F8891DDCC_.wvu.PrintArea" localSheetId="16" hidden="1">'Kanalizacija - M3'!$A$1:$F$20</definedName>
    <definedName name="Z_14FA32B8_8DA0_4B39_A6E2_254F8891DDCC_.wvu.PrintArea" localSheetId="13" hidden="1">'Kanalizacija - S3'!$A$1:$F$100</definedName>
    <definedName name="Z_14FA32B8_8DA0_4B39_A6E2_254F8891DDCC_.wvu.PrintArea" localSheetId="10" hidden="1">'Kanalizacija- S1'!$A$1:$G$129</definedName>
    <definedName name="Z_14FA32B8_8DA0_4B39_A6E2_254F8891DDCC_.wvu.PrintArea" localSheetId="0" hidden="1">Rekapitulacija!$A$1:$H$80</definedName>
    <definedName name="Z_14FA32B8_8DA0_4B39_A6E2_254F8891DDCC_.wvu.PrintArea" localSheetId="1" hidden="1">'SPLOŠNE OPOMBE'!$A$1:$B$41</definedName>
    <definedName name="Z_14FA32B8_8DA0_4B39_A6E2_254F8891DDCC_.wvu.PrintArea" localSheetId="20" hidden="1">TK!$A$1:$F$27</definedName>
    <definedName name="Z_14FA32B8_8DA0_4B39_A6E2_254F8891DDCC_.wvu.PrintArea" localSheetId="21" hidden="1">VIDEO!$A$1:$F$38</definedName>
  </definedNames>
  <calcPr calcId="191029"/>
  <customWorkbookViews>
    <customWorkbookView name="Urška Kranjc - Personal View" guid="{14FA32B8-8DA0-4B39-A6E2-254F8891DDCC}" mergeInterval="0" personalView="1" maximized="1" xWindow="-8" yWindow="-8" windowWidth="1936" windowHeight="1176" activeSheetId="1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3" i="20" l="1"/>
  <c r="G83" i="20"/>
  <c r="F72" i="3"/>
  <c r="I72" i="3" s="1"/>
  <c r="A1" i="13"/>
  <c r="F54" i="11"/>
  <c r="A1" i="10" l="1"/>
  <c r="A1" i="9"/>
  <c r="A1" i="8"/>
  <c r="A1" i="6"/>
  <c r="A1" i="5"/>
  <c r="H58" i="3" l="1"/>
  <c r="F372" i="24" l="1"/>
  <c r="F374" i="24" s="1"/>
  <c r="F45" i="24" s="1"/>
  <c r="F91" i="11"/>
  <c r="H171" i="4" l="1"/>
  <c r="G171" i="4"/>
  <c r="H169" i="4"/>
  <c r="G169" i="4"/>
  <c r="H167" i="4"/>
  <c r="G167" i="4"/>
  <c r="H165" i="4"/>
  <c r="G165" i="4"/>
  <c r="H163" i="4"/>
  <c r="G163" i="4"/>
  <c r="H161" i="4"/>
  <c r="G161" i="4"/>
  <c r="H159" i="4"/>
  <c r="G159" i="4"/>
  <c r="H147" i="4"/>
  <c r="G147" i="4"/>
  <c r="H145" i="4"/>
  <c r="G145" i="4"/>
  <c r="I58" i="3"/>
  <c r="G88" i="6" l="1"/>
  <c r="H42" i="3"/>
  <c r="G16" i="1" s="1"/>
  <c r="G137" i="6" l="1"/>
  <c r="G135" i="6"/>
  <c r="G139" i="6" s="1"/>
  <c r="H35" i="1" s="1"/>
  <c r="F132" i="6" l="1"/>
  <c r="D217" i="10"/>
  <c r="A115" i="24"/>
  <c r="A117" i="24" s="1"/>
  <c r="A119" i="24" s="1"/>
  <c r="A121" i="24" s="1"/>
  <c r="A123" i="24" s="1"/>
  <c r="A125" i="24" s="1"/>
  <c r="A127" i="24" s="1"/>
  <c r="F52" i="4"/>
  <c r="H52" i="4" s="1"/>
  <c r="F58" i="4"/>
  <c r="H58" i="4" s="1"/>
  <c r="F56" i="4"/>
  <c r="H56" i="4" s="1"/>
  <c r="H19" i="4"/>
  <c r="H17" i="4"/>
  <c r="H15" i="4"/>
  <c r="H13" i="4"/>
  <c r="F54" i="4"/>
  <c r="H54" i="4" s="1"/>
  <c r="H141" i="4" l="1"/>
  <c r="H21" i="1" s="1"/>
  <c r="H43" i="4"/>
  <c r="H20" i="1" s="1"/>
  <c r="F20" i="3"/>
  <c r="I20" i="3" s="1"/>
  <c r="F18" i="3"/>
  <c r="I18" i="3" s="1"/>
  <c r="F16" i="3" l="1"/>
  <c r="I16" i="3" s="1"/>
  <c r="I42" i="3" s="1"/>
  <c r="H16" i="1" l="1"/>
  <c r="D19" i="4"/>
  <c r="G19" i="4" s="1"/>
  <c r="D17" i="4"/>
  <c r="G17" i="4" s="1"/>
  <c r="D15" i="4"/>
  <c r="G15" i="4" s="1"/>
  <c r="D13" i="4"/>
  <c r="G13" i="4" s="1"/>
  <c r="G58" i="1" l="1"/>
  <c r="E45" i="24"/>
  <c r="F362" i="24"/>
  <c r="F360" i="24"/>
  <c r="F358" i="24"/>
  <c r="F354" i="24"/>
  <c r="F350" i="24"/>
  <c r="F348" i="24"/>
  <c r="D352" i="24"/>
  <c r="F352" i="24" s="1"/>
  <c r="F338" i="24"/>
  <c r="D340" i="24"/>
  <c r="F340" i="24" s="1"/>
  <c r="F336" i="24"/>
  <c r="F330" i="24"/>
  <c r="F326" i="24"/>
  <c r="D334" i="24"/>
  <c r="F334" i="24" s="1"/>
  <c r="D332" i="24"/>
  <c r="F332" i="24" s="1"/>
  <c r="D328" i="24"/>
  <c r="F328" i="24" s="1"/>
  <c r="D324" i="24"/>
  <c r="F324" i="24" s="1"/>
  <c r="D323" i="24"/>
  <c r="F323" i="24" s="1"/>
  <c r="D313" i="24"/>
  <c r="F313" i="24"/>
  <c r="D311" i="24"/>
  <c r="F311" i="24" s="1"/>
  <c r="F307" i="24"/>
  <c r="D305" i="24"/>
  <c r="F305" i="24" s="1"/>
  <c r="F315" i="24"/>
  <c r="F309" i="24"/>
  <c r="F303" i="24"/>
  <c r="D301" i="24"/>
  <c r="F301" i="24" s="1"/>
  <c r="D299" i="24"/>
  <c r="F299" i="24" s="1"/>
  <c r="F297" i="24"/>
  <c r="D295" i="24"/>
  <c r="F295" i="24" s="1"/>
  <c r="F293" i="24"/>
  <c r="F291" i="24"/>
  <c r="D289" i="24"/>
  <c r="F289" i="24" s="1"/>
  <c r="D282" i="24"/>
  <c r="F282" i="24" s="1"/>
  <c r="D280" i="24"/>
  <c r="F280" i="24" s="1"/>
  <c r="G219" i="24"/>
  <c r="G218" i="24"/>
  <c r="F210" i="24"/>
  <c r="G215" i="24"/>
  <c r="G214" i="24"/>
  <c r="F211" i="24"/>
  <c r="F209" i="24"/>
  <c r="F208" i="24"/>
  <c r="F207" i="24"/>
  <c r="F206" i="24"/>
  <c r="F203" i="24"/>
  <c r="G201" i="24"/>
  <c r="G199" i="24"/>
  <c r="G197" i="24"/>
  <c r="G193" i="24"/>
  <c r="G189" i="24"/>
  <c r="G187" i="24"/>
  <c r="G185" i="24"/>
  <c r="G183" i="24"/>
  <c r="F179" i="24"/>
  <c r="F177" i="24"/>
  <c r="F168" i="24"/>
  <c r="F166" i="24"/>
  <c r="F164" i="24"/>
  <c r="G162" i="24"/>
  <c r="F160" i="24"/>
  <c r="G158" i="24"/>
  <c r="G156" i="24"/>
  <c r="G154" i="24"/>
  <c r="G152" i="24"/>
  <c r="G150" i="24"/>
  <c r="G148" i="24"/>
  <c r="F146" i="24"/>
  <c r="F144" i="24"/>
  <c r="F142" i="24"/>
  <c r="G140" i="24"/>
  <c r="G138" i="24"/>
  <c r="F136" i="24"/>
  <c r="F127" i="24"/>
  <c r="F125" i="24"/>
  <c r="G125" i="24"/>
  <c r="G123" i="24"/>
  <c r="G121" i="24"/>
  <c r="G119" i="24"/>
  <c r="G117" i="24"/>
  <c r="F115" i="24"/>
  <c r="G113" i="24"/>
  <c r="G111" i="24"/>
  <c r="G109" i="24"/>
  <c r="G107" i="24"/>
  <c r="G105" i="24"/>
  <c r="G103" i="24"/>
  <c r="G101" i="24"/>
  <c r="F113" i="24"/>
  <c r="F111" i="24"/>
  <c r="F109" i="24"/>
  <c r="F107" i="24"/>
  <c r="F105" i="24"/>
  <c r="F103" i="24"/>
  <c r="F101" i="24"/>
  <c r="F284" i="24" l="1"/>
  <c r="F259" i="24" s="1"/>
  <c r="F223" i="24"/>
  <c r="F342" i="24"/>
  <c r="F364" i="24"/>
  <c r="F265" i="24"/>
  <c r="F366" i="24"/>
  <c r="F368" i="24" s="1"/>
  <c r="F268" i="24" s="1"/>
  <c r="F221" i="24"/>
  <c r="F317" i="24"/>
  <c r="F262" i="24" s="1"/>
  <c r="F129" i="24"/>
  <c r="F85" i="24" s="1"/>
  <c r="F225" i="24" l="1"/>
  <c r="F91" i="24" s="1"/>
  <c r="F273" i="24"/>
  <c r="F43" i="24" s="1"/>
  <c r="G57" i="1" l="1"/>
  <c r="E43" i="24"/>
  <c r="D77" i="6"/>
  <c r="D78" i="6" s="1"/>
  <c r="F78" i="6" s="1"/>
  <c r="F76" i="6"/>
  <c r="F75" i="6"/>
  <c r="D46" i="6"/>
  <c r="D47" i="6" s="1"/>
  <c r="F47" i="6" s="1"/>
  <c r="F45" i="6"/>
  <c r="F44" i="6"/>
  <c r="F57" i="6"/>
  <c r="F54" i="6"/>
  <c r="F46" i="6" l="1"/>
  <c r="F77" i="6"/>
  <c r="F53" i="6"/>
  <c r="F52" i="6"/>
  <c r="H228" i="20" l="1"/>
  <c r="G228" i="20"/>
  <c r="H224" i="20"/>
  <c r="G224" i="20"/>
  <c r="H222" i="20"/>
  <c r="G222" i="20"/>
  <c r="H220" i="20"/>
  <c r="G220" i="20"/>
  <c r="H213" i="20"/>
  <c r="G213" i="20"/>
  <c r="H211" i="20"/>
  <c r="G211" i="20"/>
  <c r="H209" i="20"/>
  <c r="G209" i="20"/>
  <c r="H202" i="20"/>
  <c r="G202" i="20"/>
  <c r="H200" i="20"/>
  <c r="G200" i="20"/>
  <c r="H198" i="20"/>
  <c r="G198" i="20"/>
  <c r="H191" i="20"/>
  <c r="G191" i="20"/>
  <c r="H189" i="20"/>
  <c r="G189" i="20"/>
  <c r="H187" i="20"/>
  <c r="G187" i="20"/>
  <c r="H183" i="20"/>
  <c r="G183" i="20"/>
  <c r="G184" i="20" s="1"/>
  <c r="G248" i="20" s="1"/>
  <c r="H178" i="20"/>
  <c r="H179" i="20" s="1"/>
  <c r="G178" i="20"/>
  <c r="H163" i="20"/>
  <c r="G163" i="20"/>
  <c r="G179" i="20" s="1"/>
  <c r="G247" i="20" s="1"/>
  <c r="H142" i="20"/>
  <c r="G142" i="20"/>
  <c r="H141" i="20"/>
  <c r="G141" i="20"/>
  <c r="H140" i="20"/>
  <c r="G140" i="20"/>
  <c r="H137" i="20"/>
  <c r="G137" i="20"/>
  <c r="H136" i="20"/>
  <c r="G136" i="20"/>
  <c r="H133" i="20"/>
  <c r="G133" i="20"/>
  <c r="H132" i="20"/>
  <c r="G132" i="20"/>
  <c r="H131" i="20"/>
  <c r="G131" i="20"/>
  <c r="H130" i="20"/>
  <c r="G130" i="20"/>
  <c r="H129" i="20"/>
  <c r="G129" i="20"/>
  <c r="H128" i="20"/>
  <c r="G128" i="20"/>
  <c r="H127" i="20"/>
  <c r="G127" i="20"/>
  <c r="H126" i="20"/>
  <c r="G126" i="20"/>
  <c r="H125" i="20"/>
  <c r="G125" i="20"/>
  <c r="H122" i="20"/>
  <c r="G122" i="20"/>
  <c r="H121" i="20"/>
  <c r="G121" i="20"/>
  <c r="H120" i="20"/>
  <c r="G120" i="20"/>
  <c r="H113" i="20"/>
  <c r="G113" i="20"/>
  <c r="H111" i="20"/>
  <c r="G111" i="20"/>
  <c r="H103" i="20"/>
  <c r="G103" i="20"/>
  <c r="H101" i="20"/>
  <c r="G101" i="20"/>
  <c r="H95" i="20"/>
  <c r="G95" i="20"/>
  <c r="H93" i="20"/>
  <c r="G93" i="20"/>
  <c r="H91" i="20"/>
  <c r="H97" i="20" s="1"/>
  <c r="H244" i="20" s="1"/>
  <c r="G91" i="20"/>
  <c r="H79" i="20"/>
  <c r="G79" i="20"/>
  <c r="H77" i="20"/>
  <c r="G77" i="20"/>
  <c r="G75" i="20"/>
  <c r="H73" i="20"/>
  <c r="G73" i="20"/>
  <c r="H71" i="20"/>
  <c r="G71" i="20"/>
  <c r="H69" i="20"/>
  <c r="G69" i="20"/>
  <c r="H67" i="20"/>
  <c r="G67" i="20"/>
  <c r="H81" i="20"/>
  <c r="G81" i="20"/>
  <c r="F81" i="20"/>
  <c r="E83" i="20" s="1"/>
  <c r="H18" i="20"/>
  <c r="G18" i="20"/>
  <c r="H11" i="20"/>
  <c r="G11" i="20"/>
  <c r="H9" i="20"/>
  <c r="G9" i="20"/>
  <c r="H7" i="20"/>
  <c r="H13" i="20" s="1"/>
  <c r="H238" i="20" s="1"/>
  <c r="G7" i="20"/>
  <c r="G97" i="20" l="1"/>
  <c r="G244" i="20" s="1"/>
  <c r="G215" i="20"/>
  <c r="G255" i="20" s="1"/>
  <c r="H215" i="20"/>
  <c r="H255" i="20" s="1"/>
  <c r="G204" i="20"/>
  <c r="G251" i="20" s="1"/>
  <c r="H115" i="20"/>
  <c r="H245" i="20" s="1"/>
  <c r="H204" i="20"/>
  <c r="H251" i="20" s="1"/>
  <c r="G230" i="20"/>
  <c r="G253" i="20" s="1"/>
  <c r="H230" i="20"/>
  <c r="H253" i="20" s="1"/>
  <c r="G192" i="20"/>
  <c r="G249" i="20" s="1"/>
  <c r="H184" i="20"/>
  <c r="H248" i="20" s="1"/>
  <c r="H247" i="20"/>
  <c r="G144" i="20"/>
  <c r="G246" i="20" s="1"/>
  <c r="H144" i="20"/>
  <c r="H246" i="20" s="1"/>
  <c r="G115" i="20"/>
  <c r="G245" i="20" s="1"/>
  <c r="G13" i="20"/>
  <c r="G238" i="20" s="1"/>
  <c r="H192" i="20"/>
  <c r="H249" i="20" s="1"/>
  <c r="H24" i="1" l="1"/>
  <c r="G127" i="11"/>
  <c r="G125" i="11"/>
  <c r="G123" i="11"/>
  <c r="G121" i="11"/>
  <c r="G119" i="11"/>
  <c r="G117" i="11"/>
  <c r="G113" i="11"/>
  <c r="G111" i="11"/>
  <c r="G109" i="11"/>
  <c r="G107" i="11"/>
  <c r="G105" i="11"/>
  <c r="G91" i="11"/>
  <c r="G129" i="11" l="1"/>
  <c r="H45" i="24" l="1"/>
  <c r="C58" i="1" s="1"/>
  <c r="F135" i="24"/>
  <c r="F170" i="24" s="1"/>
  <c r="F88" i="24" s="1"/>
  <c r="F96" i="24" s="1"/>
  <c r="F41" i="24" s="1"/>
  <c r="G135" i="24"/>
  <c r="G136" i="24"/>
  <c r="F48" i="24" l="1"/>
  <c r="G56" i="1"/>
  <c r="G55" i="1" s="1"/>
  <c r="E55" i="1" s="1"/>
  <c r="G221" i="24"/>
  <c r="G129" i="24"/>
  <c r="G85" i="24" s="1"/>
  <c r="G170" i="24"/>
  <c r="G88" i="24" s="1"/>
  <c r="G223" i="24"/>
  <c r="F64" i="6"/>
  <c r="F50" i="24" l="1"/>
  <c r="H317" i="24"/>
  <c r="H262" i="24" s="1"/>
  <c r="G225" i="24"/>
  <c r="G91" i="24" s="1"/>
  <c r="G96" i="24" s="1"/>
  <c r="G41" i="24" s="1"/>
  <c r="H342" i="24"/>
  <c r="H265" i="24" s="1"/>
  <c r="H129" i="24"/>
  <c r="H85" i="24" s="1"/>
  <c r="H284" i="24"/>
  <c r="H259" i="24" s="1"/>
  <c r="H170" i="24"/>
  <c r="H88" i="24" s="1"/>
  <c r="H368" i="24"/>
  <c r="H268" i="24" s="1"/>
  <c r="F53" i="24" l="1"/>
  <c r="G48" i="24"/>
  <c r="E41" i="24"/>
  <c r="H225" i="24"/>
  <c r="H91" i="24" s="1"/>
  <c r="H96" i="24" s="1"/>
  <c r="H41" i="24" s="1"/>
  <c r="H273" i="24"/>
  <c r="H43" i="24" s="1"/>
  <c r="C57" i="1" s="1"/>
  <c r="H56" i="1"/>
  <c r="G50" i="24" l="1"/>
  <c r="E48" i="24"/>
  <c r="H48" i="24"/>
  <c r="H50" i="24" s="1"/>
  <c r="H53" i="24" s="1"/>
  <c r="C56" i="1"/>
  <c r="I52" i="3"/>
  <c r="I50" i="3"/>
  <c r="I74" i="3" l="1"/>
  <c r="I76" i="3" s="1"/>
  <c r="H15" i="1" s="1"/>
  <c r="G53" i="24"/>
  <c r="E50" i="24"/>
  <c r="E53" i="24" s="1"/>
  <c r="H173" i="4"/>
  <c r="H17" i="1" l="1"/>
  <c r="H175" i="4"/>
  <c r="H19" i="1" s="1"/>
  <c r="H22" i="1"/>
  <c r="H41" i="1"/>
  <c r="H38" i="1"/>
  <c r="H33" i="1"/>
  <c r="F40" i="3" l="1"/>
  <c r="G40" i="3" s="1"/>
  <c r="F38" i="3"/>
  <c r="G38" i="3" s="1"/>
  <c r="F36" i="3"/>
  <c r="G36" i="3" s="1"/>
  <c r="F186" i="5" l="1"/>
  <c r="F184" i="5" l="1"/>
  <c r="F282" i="5" l="1"/>
  <c r="F284" i="5"/>
  <c r="F286" i="5"/>
  <c r="F288" i="5"/>
  <c r="F290" i="5"/>
  <c r="F292" i="5"/>
  <c r="F294" i="5"/>
  <c r="F296" i="5"/>
  <c r="F298" i="5"/>
  <c r="F300" i="5"/>
  <c r="F302" i="5"/>
  <c r="F304" i="5"/>
  <c r="F306" i="5"/>
  <c r="F308" i="5"/>
  <c r="F310" i="5"/>
  <c r="F36" i="22" l="1"/>
  <c r="F35" i="22"/>
  <c r="F34" i="22"/>
  <c r="F33" i="22"/>
  <c r="F32" i="22"/>
  <c r="F30" i="22"/>
  <c r="F28" i="22"/>
  <c r="F26" i="22"/>
  <c r="F24" i="22"/>
  <c r="F22" i="22"/>
  <c r="F20" i="22"/>
  <c r="F18" i="22"/>
  <c r="F16" i="22"/>
  <c r="F14" i="22"/>
  <c r="F12" i="22"/>
  <c r="F10" i="22"/>
  <c r="F8" i="22"/>
  <c r="F6" i="22"/>
  <c r="F19" i="21"/>
  <c r="F18" i="21"/>
  <c r="F17" i="21"/>
  <c r="F16" i="21"/>
  <c r="F15" i="21"/>
  <c r="F14" i="21"/>
  <c r="F13" i="21"/>
  <c r="F12" i="21"/>
  <c r="F11" i="21"/>
  <c r="F10" i="21"/>
  <c r="F9" i="21"/>
  <c r="F8" i="21"/>
  <c r="F7" i="21"/>
  <c r="F228" i="20"/>
  <c r="F224" i="20"/>
  <c r="F222" i="20"/>
  <c r="F220" i="20"/>
  <c r="F213" i="20"/>
  <c r="F211" i="20"/>
  <c r="F209" i="20"/>
  <c r="F202" i="20"/>
  <c r="F200" i="20"/>
  <c r="F198" i="20"/>
  <c r="F191" i="20"/>
  <c r="F189" i="20"/>
  <c r="F187" i="20"/>
  <c r="F192" i="20" s="1"/>
  <c r="F183" i="20"/>
  <c r="F184" i="20" s="1"/>
  <c r="F248" i="20" s="1"/>
  <c r="F178" i="20"/>
  <c r="F163" i="20"/>
  <c r="F142" i="20"/>
  <c r="F141" i="20"/>
  <c r="F140" i="20"/>
  <c r="F137" i="20"/>
  <c r="F136" i="20"/>
  <c r="F133" i="20"/>
  <c r="F132" i="20"/>
  <c r="F131" i="20"/>
  <c r="F130" i="20"/>
  <c r="F129" i="20"/>
  <c r="F128" i="20"/>
  <c r="F127" i="20"/>
  <c r="F126" i="20"/>
  <c r="F125" i="20"/>
  <c r="F122" i="20"/>
  <c r="F121" i="20"/>
  <c r="F120" i="20"/>
  <c r="F113" i="20"/>
  <c r="F111" i="20"/>
  <c r="F103" i="20"/>
  <c r="F101" i="20"/>
  <c r="F95" i="20"/>
  <c r="F93" i="20"/>
  <c r="F91" i="20"/>
  <c r="F79" i="20"/>
  <c r="F77" i="20"/>
  <c r="F75" i="20"/>
  <c r="H75" i="20" s="1"/>
  <c r="F73" i="20"/>
  <c r="F71" i="20"/>
  <c r="F69" i="20"/>
  <c r="F67" i="20"/>
  <c r="F55" i="20"/>
  <c r="G55" i="20" s="1"/>
  <c r="H55" i="20" s="1"/>
  <c r="F42" i="20"/>
  <c r="G42" i="20" s="1"/>
  <c r="H42" i="20" s="1"/>
  <c r="F30" i="20"/>
  <c r="F18" i="20"/>
  <c r="F11" i="20"/>
  <c r="F9" i="20"/>
  <c r="F7" i="20"/>
  <c r="F46" i="19"/>
  <c r="F45" i="19"/>
  <c r="F41" i="19"/>
  <c r="F40" i="19"/>
  <c r="F39" i="19"/>
  <c r="F38" i="19"/>
  <c r="F18" i="19"/>
  <c r="F17" i="19"/>
  <c r="F16" i="19"/>
  <c r="F15" i="19"/>
  <c r="F14" i="19"/>
  <c r="F10" i="19"/>
  <c r="F9" i="19"/>
  <c r="F8" i="19"/>
  <c r="F7" i="19"/>
  <c r="F6" i="19"/>
  <c r="F5" i="19"/>
  <c r="F144" i="20" l="1"/>
  <c r="F115" i="20"/>
  <c r="F245" i="20" s="1"/>
  <c r="G30" i="20"/>
  <c r="F38" i="22"/>
  <c r="C64" i="1" s="1"/>
  <c r="F64" i="1" s="1"/>
  <c r="F13" i="20"/>
  <c r="F238" i="20" s="1"/>
  <c r="F179" i="20"/>
  <c r="F247" i="20" s="1"/>
  <c r="F249" i="20"/>
  <c r="F204" i="20"/>
  <c r="F251" i="20" s="1"/>
  <c r="F215" i="20"/>
  <c r="F255" i="20" s="1"/>
  <c r="F246" i="20"/>
  <c r="F83" i="20"/>
  <c r="F85" i="20" s="1"/>
  <c r="F240" i="20" s="1"/>
  <c r="F97" i="20"/>
  <c r="F244" i="20" s="1"/>
  <c r="F230" i="20"/>
  <c r="F21" i="21"/>
  <c r="F25" i="21" s="1"/>
  <c r="F27" i="21" s="1"/>
  <c r="F253" i="20"/>
  <c r="F47" i="19"/>
  <c r="F49" i="19" s="1"/>
  <c r="C61" i="1" s="1"/>
  <c r="H61" i="1" s="1"/>
  <c r="H60" i="1" s="1"/>
  <c r="C63" i="1" l="1"/>
  <c r="G63" i="1"/>
  <c r="G85" i="20"/>
  <c r="G240" i="20" s="1"/>
  <c r="G258" i="20" s="1"/>
  <c r="F62" i="1" s="1"/>
  <c r="H30" i="20"/>
  <c r="F258" i="20"/>
  <c r="C62" i="1" s="1"/>
  <c r="F70" i="3"/>
  <c r="G70" i="3" s="1"/>
  <c r="H85" i="20" l="1"/>
  <c r="H240" i="20" s="1"/>
  <c r="H258" i="20" s="1"/>
  <c r="G62" i="1" s="1"/>
  <c r="G60" i="1" s="1"/>
  <c r="D60" i="1"/>
  <c r="F60" i="1"/>
  <c r="F90" i="16"/>
  <c r="F89" i="16"/>
  <c r="F88" i="16"/>
  <c r="F87" i="16"/>
  <c r="F86" i="16"/>
  <c r="F85" i="16"/>
  <c r="F84" i="16"/>
  <c r="F83" i="16"/>
  <c r="F74" i="16"/>
  <c r="F72" i="16"/>
  <c r="F70" i="16"/>
  <c r="F68" i="16"/>
  <c r="F62" i="16"/>
  <c r="F64" i="16" s="1"/>
  <c r="F53" i="16"/>
  <c r="F51" i="16"/>
  <c r="F49" i="16"/>
  <c r="F47" i="16"/>
  <c r="F45" i="16"/>
  <c r="F43" i="16"/>
  <c r="F41" i="16"/>
  <c r="F39" i="16"/>
  <c r="D37" i="16"/>
  <c r="F37" i="16" s="1"/>
  <c r="D35" i="16"/>
  <c r="F35" i="16" s="1"/>
  <c r="F33" i="16"/>
  <c r="F31" i="16"/>
  <c r="F19" i="16"/>
  <c r="F18" i="16"/>
  <c r="F15" i="16"/>
  <c r="F13" i="16"/>
  <c r="F11" i="16"/>
  <c r="F9" i="16"/>
  <c r="F90" i="15"/>
  <c r="F89" i="15"/>
  <c r="F88" i="15"/>
  <c r="F87" i="15"/>
  <c r="F86" i="15"/>
  <c r="F85" i="15"/>
  <c r="F84" i="15"/>
  <c r="F83" i="15"/>
  <c r="F74" i="15"/>
  <c r="F72" i="15"/>
  <c r="F70" i="15"/>
  <c r="F68" i="15"/>
  <c r="F62" i="15"/>
  <c r="F60" i="15"/>
  <c r="F58" i="15"/>
  <c r="F49" i="15"/>
  <c r="F47" i="15"/>
  <c r="F45" i="15"/>
  <c r="F43" i="15"/>
  <c r="F41" i="15"/>
  <c r="F39" i="15"/>
  <c r="D37" i="15"/>
  <c r="F37" i="15" s="1"/>
  <c r="D35" i="15"/>
  <c r="F35" i="15" s="1"/>
  <c r="F33" i="15"/>
  <c r="F31" i="15"/>
  <c r="F19" i="15"/>
  <c r="F18" i="15"/>
  <c r="F15" i="15"/>
  <c r="F13" i="15"/>
  <c r="F11" i="15"/>
  <c r="F9" i="15"/>
  <c r="F98" i="14"/>
  <c r="F97" i="14"/>
  <c r="F96" i="14"/>
  <c r="F95" i="14"/>
  <c r="F94" i="14"/>
  <c r="F93" i="14"/>
  <c r="F92" i="14"/>
  <c r="F91" i="14"/>
  <c r="F82" i="14"/>
  <c r="F80" i="14"/>
  <c r="F78" i="14"/>
  <c r="F76" i="14"/>
  <c r="F70" i="14"/>
  <c r="F68" i="14"/>
  <c r="F59" i="14"/>
  <c r="F57" i="14"/>
  <c r="F55" i="14"/>
  <c r="F53" i="14"/>
  <c r="F51" i="14"/>
  <c r="F49" i="14"/>
  <c r="F47" i="14"/>
  <c r="F45" i="14"/>
  <c r="F43" i="14"/>
  <c r="F41" i="14"/>
  <c r="F39" i="14"/>
  <c r="D37" i="14"/>
  <c r="F37" i="14" s="1"/>
  <c r="D35" i="14"/>
  <c r="F35" i="14" s="1"/>
  <c r="F33" i="14"/>
  <c r="D31" i="14"/>
  <c r="F31" i="14" s="1"/>
  <c r="F19" i="14"/>
  <c r="F18" i="14"/>
  <c r="F15" i="14"/>
  <c r="F13" i="14"/>
  <c r="F11" i="14"/>
  <c r="F9" i="14"/>
  <c r="F90" i="13"/>
  <c r="F89" i="13"/>
  <c r="F88" i="13"/>
  <c r="F87" i="13"/>
  <c r="F86" i="13"/>
  <c r="F85" i="13"/>
  <c r="F84" i="13"/>
  <c r="F83" i="13"/>
  <c r="F74" i="13"/>
  <c r="F72" i="13"/>
  <c r="F70" i="13"/>
  <c r="F68" i="13"/>
  <c r="F62" i="13"/>
  <c r="F64" i="13" s="1"/>
  <c r="F53" i="13"/>
  <c r="F51" i="13"/>
  <c r="F49" i="13"/>
  <c r="F47" i="13"/>
  <c r="F45" i="13"/>
  <c r="F43" i="13"/>
  <c r="F41" i="13"/>
  <c r="F39" i="13"/>
  <c r="D37" i="13"/>
  <c r="F37" i="13" s="1"/>
  <c r="D35" i="13"/>
  <c r="F35" i="13" s="1"/>
  <c r="F33" i="13"/>
  <c r="D31" i="13"/>
  <c r="F31" i="13" s="1"/>
  <c r="F19" i="13"/>
  <c r="F18" i="13"/>
  <c r="F15" i="13"/>
  <c r="F13" i="13"/>
  <c r="F11" i="13"/>
  <c r="F9" i="13"/>
  <c r="F110" i="12"/>
  <c r="F109" i="12"/>
  <c r="F108" i="12"/>
  <c r="F107" i="12"/>
  <c r="F106" i="12"/>
  <c r="F105" i="12"/>
  <c r="F104" i="12"/>
  <c r="F103" i="12"/>
  <c r="F94" i="12"/>
  <c r="F92" i="12"/>
  <c r="F90" i="12"/>
  <c r="F88" i="12"/>
  <c r="F96" i="12" s="1"/>
  <c r="D82" i="12"/>
  <c r="F82" i="12" s="1"/>
  <c r="F80" i="12"/>
  <c r="F78" i="12"/>
  <c r="F76" i="12"/>
  <c r="F74" i="12"/>
  <c r="D65" i="12"/>
  <c r="F65" i="12" s="1"/>
  <c r="D63" i="12"/>
  <c r="F63" i="12" s="1"/>
  <c r="D61" i="12"/>
  <c r="F61" i="12" s="1"/>
  <c r="F59" i="12"/>
  <c r="F57" i="12"/>
  <c r="F55" i="12"/>
  <c r="F53" i="12"/>
  <c r="F51" i="12"/>
  <c r="F49" i="12"/>
  <c r="F47" i="12"/>
  <c r="F45" i="12"/>
  <c r="F43" i="12"/>
  <c r="F41" i="12"/>
  <c r="F39" i="12"/>
  <c r="D37" i="12"/>
  <c r="F37" i="12" s="1"/>
  <c r="D35" i="12"/>
  <c r="F35" i="12" s="1"/>
  <c r="F33" i="12"/>
  <c r="F31" i="12"/>
  <c r="F19" i="12"/>
  <c r="F18" i="12"/>
  <c r="F15" i="12"/>
  <c r="F13" i="12"/>
  <c r="F11" i="12"/>
  <c r="F9" i="12"/>
  <c r="F127" i="11"/>
  <c r="H127" i="11" s="1"/>
  <c r="F125" i="11"/>
  <c r="H125" i="11" s="1"/>
  <c r="F123" i="11"/>
  <c r="H123" i="11" s="1"/>
  <c r="F121" i="11"/>
  <c r="H121" i="11" s="1"/>
  <c r="F119" i="11"/>
  <c r="H119" i="11" s="1"/>
  <c r="F117" i="11"/>
  <c r="H117" i="11" s="1"/>
  <c r="F113" i="11"/>
  <c r="H113" i="11" s="1"/>
  <c r="F111" i="11"/>
  <c r="H111" i="11" s="1"/>
  <c r="F109" i="11"/>
  <c r="H109" i="11" s="1"/>
  <c r="F107" i="11"/>
  <c r="H107" i="11" s="1"/>
  <c r="D105" i="11"/>
  <c r="F105" i="11" s="1"/>
  <c r="H105" i="11" s="1"/>
  <c r="F95" i="11"/>
  <c r="F94" i="11"/>
  <c r="F93" i="11"/>
  <c r="F92" i="11"/>
  <c r="H91" i="11"/>
  <c r="F90" i="11"/>
  <c r="F89" i="11"/>
  <c r="F88" i="11"/>
  <c r="F79" i="11"/>
  <c r="F77" i="11"/>
  <c r="F75" i="11"/>
  <c r="F73" i="11"/>
  <c r="F67" i="11"/>
  <c r="F65" i="11"/>
  <c r="F56" i="11"/>
  <c r="F52" i="11"/>
  <c r="F50" i="11"/>
  <c r="F48" i="11"/>
  <c r="F46" i="11"/>
  <c r="F44" i="11"/>
  <c r="D42" i="11"/>
  <c r="F42" i="11" s="1"/>
  <c r="D40" i="11"/>
  <c r="F40" i="11" s="1"/>
  <c r="F38" i="11"/>
  <c r="F25" i="11"/>
  <c r="F21" i="11"/>
  <c r="F19" i="11"/>
  <c r="F18" i="11"/>
  <c r="F15" i="11"/>
  <c r="F13" i="11"/>
  <c r="F11" i="11"/>
  <c r="F9" i="11"/>
  <c r="F58" i="3"/>
  <c r="E60" i="1" l="1"/>
  <c r="G77" i="11"/>
  <c r="H77" i="11"/>
  <c r="G52" i="11"/>
  <c r="H52" i="11"/>
  <c r="H54" i="11"/>
  <c r="G54" i="11"/>
  <c r="H21" i="11"/>
  <c r="G21" i="11"/>
  <c r="G94" i="11"/>
  <c r="H94" i="11"/>
  <c r="H95" i="11"/>
  <c r="G95" i="11"/>
  <c r="H56" i="11"/>
  <c r="G56" i="11"/>
  <c r="H13" i="11"/>
  <c r="G13" i="11"/>
  <c r="H65" i="11"/>
  <c r="G65" i="11"/>
  <c r="H15" i="11"/>
  <c r="G15" i="11"/>
  <c r="H44" i="11"/>
  <c r="G44" i="11"/>
  <c r="H67" i="11"/>
  <c r="G67" i="11"/>
  <c r="G69" i="11" s="1"/>
  <c r="H129" i="11"/>
  <c r="H50" i="11"/>
  <c r="G50" i="11"/>
  <c r="H79" i="11"/>
  <c r="G79" i="11"/>
  <c r="H9" i="11"/>
  <c r="G9" i="11"/>
  <c r="H88" i="11"/>
  <c r="G88" i="11"/>
  <c r="H11" i="11"/>
  <c r="G11" i="11"/>
  <c r="H89" i="11"/>
  <c r="G89" i="11"/>
  <c r="H90" i="11"/>
  <c r="G90" i="11"/>
  <c r="H92" i="11"/>
  <c r="G92" i="11"/>
  <c r="G25" i="11"/>
  <c r="H25" i="11"/>
  <c r="H38" i="11"/>
  <c r="G38" i="11"/>
  <c r="H40" i="11"/>
  <c r="G40" i="11"/>
  <c r="H42" i="11"/>
  <c r="G42" i="11"/>
  <c r="H18" i="11"/>
  <c r="G18" i="11"/>
  <c r="H46" i="11"/>
  <c r="G46" i="11"/>
  <c r="H73" i="11"/>
  <c r="G73" i="11"/>
  <c r="G81" i="11" s="1"/>
  <c r="H19" i="11"/>
  <c r="G19" i="11"/>
  <c r="H48" i="11"/>
  <c r="G48" i="11"/>
  <c r="H75" i="11"/>
  <c r="G75" i="11"/>
  <c r="H93" i="11"/>
  <c r="G93" i="11"/>
  <c r="F67" i="12"/>
  <c r="F84" i="12"/>
  <c r="F112" i="12"/>
  <c r="F21" i="12"/>
  <c r="F129" i="11"/>
  <c r="F92" i="16"/>
  <c r="F76" i="16"/>
  <c r="F21" i="16"/>
  <c r="F55" i="16"/>
  <c r="F64" i="15"/>
  <c r="F92" i="15"/>
  <c r="F76" i="15"/>
  <c r="F51" i="15"/>
  <c r="F21" i="15"/>
  <c r="F21" i="14"/>
  <c r="F72" i="14"/>
  <c r="F84" i="14"/>
  <c r="F100" i="14"/>
  <c r="F61" i="14"/>
  <c r="F92" i="13"/>
  <c r="F76" i="13"/>
  <c r="F21" i="13"/>
  <c r="F55" i="13"/>
  <c r="F58" i="11"/>
  <c r="F97" i="11"/>
  <c r="F81" i="11"/>
  <c r="F28" i="11"/>
  <c r="F69" i="11"/>
  <c r="F102" i="14" l="1"/>
  <c r="G50" i="1" s="1"/>
  <c r="F94" i="16"/>
  <c r="G52" i="1" s="1"/>
  <c r="F94" i="15"/>
  <c r="G51" i="1" s="1"/>
  <c r="F94" i="13"/>
  <c r="G49" i="1" s="1"/>
  <c r="F114" i="12"/>
  <c r="G48" i="1" s="1"/>
  <c r="C48" i="1"/>
  <c r="F131" i="11"/>
  <c r="C47" i="1" s="1"/>
  <c r="G28" i="11"/>
  <c r="H81" i="11"/>
  <c r="H97" i="11"/>
  <c r="H58" i="11"/>
  <c r="H28" i="11"/>
  <c r="G58" i="11"/>
  <c r="G97" i="11"/>
  <c r="H69" i="11"/>
  <c r="C51" i="1"/>
  <c r="C52" i="1"/>
  <c r="C50" i="1"/>
  <c r="C49" i="1"/>
  <c r="H131" i="11" l="1"/>
  <c r="H47" i="1" s="1"/>
  <c r="H46" i="1" s="1"/>
  <c r="G131" i="11"/>
  <c r="G47" i="1" s="1"/>
  <c r="G46" i="1" s="1"/>
  <c r="H55" i="1"/>
  <c r="D55" i="1"/>
  <c r="F358" i="5" l="1"/>
  <c r="F360" i="5"/>
  <c r="F362" i="5"/>
  <c r="F364" i="5"/>
  <c r="F366" i="5"/>
  <c r="F368" i="5"/>
  <c r="F370" i="5"/>
  <c r="F372" i="5"/>
  <c r="F28" i="3" l="1"/>
  <c r="G28" i="3" s="1"/>
  <c r="F32" i="3"/>
  <c r="G32" i="3" s="1"/>
  <c r="F30" i="3"/>
  <c r="G30" i="3" s="1"/>
  <c r="F59" i="6" l="1"/>
  <c r="F56" i="6"/>
  <c r="F51" i="6"/>
  <c r="D49" i="6"/>
  <c r="F49" i="6" s="1"/>
  <c r="F80" i="6" l="1"/>
  <c r="F82" i="6"/>
  <c r="F84" i="6"/>
  <c r="F86" i="6"/>
  <c r="F149" i="6" l="1"/>
  <c r="F151" i="6"/>
  <c r="F153" i="6"/>
  <c r="F155" i="6"/>
  <c r="F232" i="5" l="1"/>
  <c r="F234" i="5"/>
  <c r="F236" i="5"/>
  <c r="F238" i="5"/>
  <c r="F240" i="5"/>
  <c r="F242" i="5"/>
  <c r="F97" i="4" l="1"/>
  <c r="G97" i="4" s="1"/>
  <c r="F95" i="4" l="1"/>
  <c r="G95" i="4" s="1"/>
  <c r="F93" i="4"/>
  <c r="G93" i="4" s="1"/>
  <c r="F112" i="4"/>
  <c r="G112" i="4" s="1"/>
  <c r="F39" i="4" l="1"/>
  <c r="G39" i="4" s="1"/>
  <c r="F124" i="5" l="1"/>
  <c r="F126" i="5"/>
  <c r="F174" i="5"/>
  <c r="F170" i="5"/>
  <c r="F161" i="5"/>
  <c r="F154" i="5"/>
  <c r="F147" i="5"/>
  <c r="F141" i="5"/>
  <c r="F132" i="5"/>
  <c r="F100" i="5" l="1"/>
  <c r="F102" i="5"/>
  <c r="F104" i="5"/>
  <c r="F106" i="5"/>
  <c r="F108" i="5"/>
  <c r="F110" i="5"/>
  <c r="F112" i="5"/>
  <c r="F114" i="5"/>
  <c r="F116" i="5"/>
  <c r="F118" i="5"/>
  <c r="F120" i="5"/>
  <c r="F122" i="5"/>
  <c r="F70" i="5" l="1"/>
  <c r="F72" i="5"/>
  <c r="F74" i="5"/>
  <c r="F76" i="5"/>
  <c r="F78" i="5"/>
  <c r="F80" i="5"/>
  <c r="F31" i="5" l="1"/>
  <c r="F33" i="5"/>
  <c r="F35" i="5"/>
  <c r="F37" i="5"/>
  <c r="F39" i="5"/>
  <c r="F41" i="5"/>
  <c r="F43" i="5"/>
  <c r="F45" i="5"/>
  <c r="F47" i="5"/>
  <c r="F49" i="5"/>
  <c r="F51" i="5"/>
  <c r="F346" i="5" l="1"/>
  <c r="F348" i="5"/>
  <c r="F350" i="5"/>
  <c r="F352" i="5"/>
  <c r="F354" i="5"/>
  <c r="F356" i="5"/>
  <c r="F342" i="5"/>
  <c r="F340" i="5"/>
  <c r="F338" i="5"/>
  <c r="F336" i="5"/>
  <c r="F312" i="5" l="1"/>
  <c r="F35" i="8" l="1"/>
  <c r="F276" i="5" l="1"/>
  <c r="F278" i="5"/>
  <c r="F280" i="5"/>
  <c r="F314" i="5"/>
  <c r="F316" i="5"/>
  <c r="F318" i="5"/>
  <c r="F320" i="5"/>
  <c r="F322" i="5"/>
  <c r="F324" i="5"/>
  <c r="F326" i="5"/>
  <c r="F328" i="5"/>
  <c r="F334" i="5"/>
  <c r="F344" i="5"/>
  <c r="F374" i="5"/>
  <c r="F376" i="5"/>
  <c r="F378" i="5"/>
  <c r="F27" i="5"/>
  <c r="F29" i="5"/>
  <c r="F53" i="5"/>
  <c r="F55" i="5"/>
  <c r="F57" i="5"/>
  <c r="F59" i="5"/>
  <c r="F61" i="5"/>
  <c r="F63" i="5"/>
  <c r="F66" i="5"/>
  <c r="F68" i="5"/>
  <c r="F82" i="5"/>
  <c r="F84" i="5"/>
  <c r="F86" i="5"/>
  <c r="F88" i="5"/>
  <c r="F90" i="5"/>
  <c r="F230" i="5"/>
  <c r="F226" i="5"/>
  <c r="F222" i="5"/>
  <c r="F128" i="4"/>
  <c r="G128" i="4" s="1"/>
  <c r="F119" i="4"/>
  <c r="G119" i="4" s="1"/>
  <c r="F15" i="4"/>
  <c r="F380" i="5" l="1"/>
  <c r="F330" i="5"/>
  <c r="F68" i="3"/>
  <c r="G68" i="3" s="1"/>
  <c r="F34" i="3"/>
  <c r="G34" i="3" s="1"/>
  <c r="F24" i="3"/>
  <c r="G24" i="3" s="1"/>
  <c r="E31" i="1" l="1"/>
  <c r="F31" i="1"/>
  <c r="E30" i="1"/>
  <c r="F30" i="1"/>
  <c r="F270" i="5"/>
  <c r="F268" i="5"/>
  <c r="F272" i="5" s="1"/>
  <c r="F262" i="5"/>
  <c r="F260" i="5"/>
  <c r="D258" i="5"/>
  <c r="F258" i="5" s="1"/>
  <c r="D256" i="5"/>
  <c r="F256" i="5" s="1"/>
  <c r="D254" i="5"/>
  <c r="F254" i="5" s="1"/>
  <c r="F252" i="5"/>
  <c r="F250" i="5"/>
  <c r="F248" i="5"/>
  <c r="F246" i="5"/>
  <c r="F244" i="5"/>
  <c r="F228" i="5"/>
  <c r="F224" i="5"/>
  <c r="F220" i="5"/>
  <c r="F218" i="5"/>
  <c r="C29" i="1" l="1"/>
  <c r="F29" i="1"/>
  <c r="E29" i="1"/>
  <c r="F264" i="5"/>
  <c r="F32" i="6"/>
  <c r="F30" i="6"/>
  <c r="F22" i="6"/>
  <c r="F20" i="6"/>
  <c r="C28" i="1" l="1"/>
  <c r="F28" i="1"/>
  <c r="E28" i="1"/>
  <c r="F100" i="6"/>
  <c r="F123" i="4" l="1"/>
  <c r="G123" i="4" s="1"/>
  <c r="F121" i="4"/>
  <c r="G121" i="4" s="1"/>
  <c r="F117" i="4"/>
  <c r="G117" i="4" s="1"/>
  <c r="F104" i="6" l="1"/>
  <c r="F98" i="6"/>
  <c r="F22" i="3"/>
  <c r="G22" i="3" s="1"/>
  <c r="F60" i="3" l="1"/>
  <c r="H60" i="3" s="1"/>
  <c r="F51" i="7"/>
  <c r="F61" i="6"/>
  <c r="D168" i="10" l="1"/>
  <c r="D162" i="10"/>
  <c r="D170" i="10" s="1"/>
  <c r="D166" i="10" l="1"/>
  <c r="D172" i="10"/>
  <c r="D164" i="10"/>
  <c r="D174" i="10"/>
  <c r="D263" i="10"/>
  <c r="F129" i="6" l="1"/>
  <c r="D253" i="10"/>
  <c r="F296" i="10" l="1"/>
  <c r="F294" i="10"/>
  <c r="D290" i="10"/>
  <c r="D291" i="10" s="1"/>
  <c r="F291" i="10" s="1"/>
  <c r="D287" i="10"/>
  <c r="F287" i="10" s="1"/>
  <c r="F286" i="10"/>
  <c r="F279" i="10"/>
  <c r="F277" i="10"/>
  <c r="F275" i="10"/>
  <c r="F273" i="10"/>
  <c r="F269" i="10"/>
  <c r="F265" i="10"/>
  <c r="F262" i="10"/>
  <c r="D266" i="10"/>
  <c r="F266" i="10" s="1"/>
  <c r="F257" i="10"/>
  <c r="D260" i="10"/>
  <c r="F260" i="10" s="1"/>
  <c r="F252" i="10"/>
  <c r="D255" i="10"/>
  <c r="F255" i="10" s="1"/>
  <c r="D247" i="10"/>
  <c r="D250" i="10" s="1"/>
  <c r="F250" i="10" s="1"/>
  <c r="D245" i="10"/>
  <c r="F245" i="10" s="1"/>
  <c r="F242" i="10"/>
  <c r="D243" i="10"/>
  <c r="F239" i="10"/>
  <c r="F237" i="10"/>
  <c r="F235" i="10"/>
  <c r="F233" i="10"/>
  <c r="D230" i="10"/>
  <c r="F230" i="10" s="1"/>
  <c r="D228" i="10"/>
  <c r="F228" i="10" s="1"/>
  <c r="F227" i="10"/>
  <c r="D225" i="10"/>
  <c r="F225" i="10" s="1"/>
  <c r="D223" i="10"/>
  <c r="F223" i="10" s="1"/>
  <c r="F222" i="10"/>
  <c r="D220" i="10"/>
  <c r="F220" i="10" s="1"/>
  <c r="D218" i="10"/>
  <c r="D219" i="10" s="1"/>
  <c r="F219" i="10" s="1"/>
  <c r="F217" i="10"/>
  <c r="D215" i="10"/>
  <c r="F215" i="10" s="1"/>
  <c r="D213" i="10"/>
  <c r="D214" i="10" s="1"/>
  <c r="F214" i="10" s="1"/>
  <c r="F212" i="10"/>
  <c r="D210" i="10"/>
  <c r="F210" i="10" s="1"/>
  <c r="D208" i="10"/>
  <c r="F208" i="10" s="1"/>
  <c r="F207" i="10"/>
  <c r="D205" i="10"/>
  <c r="F205" i="10" s="1"/>
  <c r="D203" i="10"/>
  <c r="D204" i="10" s="1"/>
  <c r="F204" i="10" s="1"/>
  <c r="F202" i="10"/>
  <c r="F200" i="10"/>
  <c r="D200" i="10"/>
  <c r="D198" i="10"/>
  <c r="D199" i="10" s="1"/>
  <c r="F199" i="10" s="1"/>
  <c r="F197" i="10"/>
  <c r="D195" i="10"/>
  <c r="F195" i="10" s="1"/>
  <c r="D193" i="10"/>
  <c r="D194" i="10" s="1"/>
  <c r="F194" i="10" s="1"/>
  <c r="F192" i="10"/>
  <c r="D190" i="10"/>
  <c r="F190" i="10" s="1"/>
  <c r="D188" i="10"/>
  <c r="F188" i="10" s="1"/>
  <c r="F187" i="10"/>
  <c r="D185" i="10"/>
  <c r="F185" i="10" s="1"/>
  <c r="D183" i="10"/>
  <c r="F183" i="10" s="1"/>
  <c r="F182" i="10"/>
  <c r="D180" i="10"/>
  <c r="F180" i="10" s="1"/>
  <c r="D178" i="10"/>
  <c r="D179" i="10" s="1"/>
  <c r="F179" i="10" s="1"/>
  <c r="F177" i="10"/>
  <c r="F174" i="10"/>
  <c r="F172" i="10"/>
  <c r="F170" i="10"/>
  <c r="F168" i="10"/>
  <c r="F166" i="10"/>
  <c r="F164" i="10"/>
  <c r="F162" i="10"/>
  <c r="F160" i="10"/>
  <c r="D157" i="10"/>
  <c r="F157" i="10" s="1"/>
  <c r="D156" i="10"/>
  <c r="F156" i="10" s="1"/>
  <c r="D155" i="10"/>
  <c r="F155" i="10" s="1"/>
  <c r="D154" i="10"/>
  <c r="F154" i="10" s="1"/>
  <c r="F153" i="10"/>
  <c r="D151" i="10"/>
  <c r="F151" i="10" s="1"/>
  <c r="D150" i="10"/>
  <c r="F150" i="10" s="1"/>
  <c r="D149" i="10"/>
  <c r="F149" i="10" s="1"/>
  <c r="D148" i="10"/>
  <c r="F148" i="10" s="1"/>
  <c r="F147" i="10"/>
  <c r="D145" i="10"/>
  <c r="F145" i="10" s="1"/>
  <c r="D144" i="10"/>
  <c r="F144" i="10" s="1"/>
  <c r="D143" i="10"/>
  <c r="F143" i="10" s="1"/>
  <c r="D142" i="10"/>
  <c r="F142" i="10" s="1"/>
  <c r="F141" i="10"/>
  <c r="D139" i="10"/>
  <c r="F139" i="10" s="1"/>
  <c r="D138" i="10"/>
  <c r="F138" i="10" s="1"/>
  <c r="D137" i="10"/>
  <c r="F137" i="10" s="1"/>
  <c r="D136" i="10"/>
  <c r="F136" i="10" s="1"/>
  <c r="F135" i="10"/>
  <c r="D133" i="10"/>
  <c r="F133" i="10" s="1"/>
  <c r="D132" i="10"/>
  <c r="F132" i="10" s="1"/>
  <c r="D131" i="10"/>
  <c r="F131" i="10" s="1"/>
  <c r="D130" i="10"/>
  <c r="F130" i="10" s="1"/>
  <c r="F129" i="10"/>
  <c r="D127" i="10"/>
  <c r="F127" i="10" s="1"/>
  <c r="D126" i="10"/>
  <c r="F126" i="10" s="1"/>
  <c r="D125" i="10"/>
  <c r="F125" i="10" s="1"/>
  <c r="D124" i="10"/>
  <c r="F124" i="10" s="1"/>
  <c r="F123" i="10"/>
  <c r="D121" i="10"/>
  <c r="F121" i="10" s="1"/>
  <c r="D120" i="10"/>
  <c r="F120" i="10" s="1"/>
  <c r="D119" i="10"/>
  <c r="F119" i="10" s="1"/>
  <c r="D118" i="10"/>
  <c r="F118" i="10" s="1"/>
  <c r="F117" i="10"/>
  <c r="D115" i="10"/>
  <c r="F115" i="10" s="1"/>
  <c r="D114" i="10"/>
  <c r="F114" i="10" s="1"/>
  <c r="D113" i="10"/>
  <c r="F113" i="10" s="1"/>
  <c r="D112" i="10"/>
  <c r="F112" i="10" s="1"/>
  <c r="F111" i="10"/>
  <c r="D109" i="10"/>
  <c r="F109" i="10" s="1"/>
  <c r="D108" i="10"/>
  <c r="F108" i="10" s="1"/>
  <c r="D107" i="10"/>
  <c r="F107" i="10" s="1"/>
  <c r="D106" i="10"/>
  <c r="F106" i="10" s="1"/>
  <c r="F105" i="10"/>
  <c r="D103" i="10"/>
  <c r="F103" i="10" s="1"/>
  <c r="D102" i="10"/>
  <c r="F102" i="10" s="1"/>
  <c r="D101" i="10"/>
  <c r="F101" i="10" s="1"/>
  <c r="D100" i="10"/>
  <c r="F100" i="10" s="1"/>
  <c r="F99" i="10"/>
  <c r="D97" i="10"/>
  <c r="F97" i="10" s="1"/>
  <c r="D96" i="10"/>
  <c r="F96" i="10" s="1"/>
  <c r="D95" i="10"/>
  <c r="F95" i="10" s="1"/>
  <c r="D94" i="10"/>
  <c r="F94" i="10" s="1"/>
  <c r="F93" i="10"/>
  <c r="D91" i="10"/>
  <c r="F91" i="10" s="1"/>
  <c r="D90" i="10"/>
  <c r="F90" i="10" s="1"/>
  <c r="D89" i="10"/>
  <c r="F89" i="10" s="1"/>
  <c r="D88" i="10"/>
  <c r="F88" i="10" s="1"/>
  <c r="F87" i="10"/>
  <c r="D85" i="10"/>
  <c r="F85" i="10" s="1"/>
  <c r="D84" i="10"/>
  <c r="F84" i="10" s="1"/>
  <c r="D83" i="10"/>
  <c r="F83" i="10" s="1"/>
  <c r="D82" i="10"/>
  <c r="F82" i="10" s="1"/>
  <c r="F81" i="10"/>
  <c r="D79" i="10"/>
  <c r="F79" i="10" s="1"/>
  <c r="D78" i="10"/>
  <c r="F78" i="10" s="1"/>
  <c r="D77" i="10"/>
  <c r="F77" i="10" s="1"/>
  <c r="D76" i="10"/>
  <c r="F76" i="10" s="1"/>
  <c r="F75" i="10"/>
  <c r="D73" i="10"/>
  <c r="F73" i="10" s="1"/>
  <c r="D72" i="10"/>
  <c r="F72" i="10" s="1"/>
  <c r="D71" i="10"/>
  <c r="F71" i="10" s="1"/>
  <c r="D70" i="10"/>
  <c r="F70" i="10" s="1"/>
  <c r="F69" i="10"/>
  <c r="D67" i="10"/>
  <c r="F67" i="10" s="1"/>
  <c r="D66" i="10"/>
  <c r="F66" i="10" s="1"/>
  <c r="D65" i="10"/>
  <c r="F65" i="10" s="1"/>
  <c r="D64" i="10"/>
  <c r="F64" i="10" s="1"/>
  <c r="F63" i="10"/>
  <c r="D61" i="10"/>
  <c r="F61" i="10" s="1"/>
  <c r="D60" i="10"/>
  <c r="F60" i="10" s="1"/>
  <c r="D59" i="10"/>
  <c r="F59" i="10" s="1"/>
  <c r="D58" i="10"/>
  <c r="F58" i="10" s="1"/>
  <c r="F57" i="10"/>
  <c r="D55" i="10"/>
  <c r="F55" i="10" s="1"/>
  <c r="D54" i="10"/>
  <c r="F54" i="10" s="1"/>
  <c r="D53" i="10"/>
  <c r="F53" i="10" s="1"/>
  <c r="D52" i="10"/>
  <c r="F52" i="10" s="1"/>
  <c r="F51" i="10"/>
  <c r="D49" i="10"/>
  <c r="F49" i="10" s="1"/>
  <c r="D48" i="10"/>
  <c r="F48" i="10" s="1"/>
  <c r="D47" i="10"/>
  <c r="F47" i="10" s="1"/>
  <c r="D46" i="10"/>
  <c r="F46" i="10" s="1"/>
  <c r="F45" i="10"/>
  <c r="D43" i="10"/>
  <c r="F43" i="10" s="1"/>
  <c r="D42" i="10"/>
  <c r="F42" i="10" s="1"/>
  <c r="D41" i="10"/>
  <c r="F41" i="10" s="1"/>
  <c r="D40" i="10"/>
  <c r="F40" i="10" s="1"/>
  <c r="F39" i="10"/>
  <c r="D37" i="10"/>
  <c r="F37" i="10" s="1"/>
  <c r="D36" i="10"/>
  <c r="F36" i="10" s="1"/>
  <c r="D35" i="10"/>
  <c r="F35" i="10" s="1"/>
  <c r="D34" i="10"/>
  <c r="F34" i="10" s="1"/>
  <c r="F33" i="10"/>
  <c r="D31" i="10"/>
  <c r="F31" i="10" s="1"/>
  <c r="D30" i="10"/>
  <c r="F30" i="10" s="1"/>
  <c r="D29" i="10"/>
  <c r="F29" i="10" s="1"/>
  <c r="D28" i="10"/>
  <c r="F28" i="10" s="1"/>
  <c r="F27" i="10"/>
  <c r="D25" i="10"/>
  <c r="F25" i="10" s="1"/>
  <c r="D24" i="10"/>
  <c r="F24" i="10" s="1"/>
  <c r="D23" i="10"/>
  <c r="F23" i="10" s="1"/>
  <c r="D22" i="10"/>
  <c r="F22" i="10" s="1"/>
  <c r="F21" i="10"/>
  <c r="D19" i="10"/>
  <c r="F19" i="10" s="1"/>
  <c r="D18" i="10"/>
  <c r="F18" i="10" s="1"/>
  <c r="D17" i="10"/>
  <c r="F17" i="10" s="1"/>
  <c r="D16" i="10"/>
  <c r="F15" i="10"/>
  <c r="F12" i="10"/>
  <c r="F32" i="9"/>
  <c r="F31" i="9"/>
  <c r="F30" i="9"/>
  <c r="F29" i="9"/>
  <c r="F26" i="9"/>
  <c r="F24" i="9"/>
  <c r="F23" i="9"/>
  <c r="F22" i="9"/>
  <c r="F21" i="9"/>
  <c r="F20" i="9"/>
  <c r="F19" i="9"/>
  <c r="F18" i="9"/>
  <c r="F43" i="8"/>
  <c r="F41" i="8"/>
  <c r="F38" i="8"/>
  <c r="F33" i="8"/>
  <c r="F31" i="8"/>
  <c r="F30" i="8"/>
  <c r="F29" i="8"/>
  <c r="F28" i="8"/>
  <c r="F23" i="8"/>
  <c r="F21" i="8"/>
  <c r="D209" i="10" l="1"/>
  <c r="F209" i="10" s="1"/>
  <c r="D224" i="10"/>
  <c r="F224" i="10" s="1"/>
  <c r="F203" i="10"/>
  <c r="F34" i="9"/>
  <c r="F43" i="1" s="1"/>
  <c r="D282" i="10"/>
  <c r="F282" i="10" s="1"/>
  <c r="F16" i="10"/>
  <c r="F178" i="10"/>
  <c r="D184" i="10"/>
  <c r="F184" i="10" s="1"/>
  <c r="D189" i="10"/>
  <c r="F189" i="10" s="1"/>
  <c r="D248" i="10"/>
  <c r="D249" i="10" s="1"/>
  <c r="F249" i="10" s="1"/>
  <c r="D271" i="10"/>
  <c r="D229" i="10"/>
  <c r="F229" i="10" s="1"/>
  <c r="F46" i="8"/>
  <c r="F218" i="10"/>
  <c r="F247" i="10"/>
  <c r="D244" i="10"/>
  <c r="F244" i="10" s="1"/>
  <c r="F243" i="10"/>
  <c r="F248" i="10"/>
  <c r="F198" i="10"/>
  <c r="D258" i="10"/>
  <c r="F290" i="10"/>
  <c r="F193" i="10"/>
  <c r="F213" i="10"/>
  <c r="F36" i="9" l="1"/>
  <c r="C43" i="1" s="1"/>
  <c r="F48" i="8"/>
  <c r="C42" i="1" s="1"/>
  <c r="F42" i="1"/>
  <c r="F298" i="10"/>
  <c r="F44" i="1" s="1"/>
  <c r="F271" i="10"/>
  <c r="D259" i="10"/>
  <c r="F259" i="10" s="1"/>
  <c r="F258" i="10"/>
  <c r="D264" i="10"/>
  <c r="F264" i="10" s="1"/>
  <c r="F263" i="10"/>
  <c r="D254" i="10"/>
  <c r="F254" i="10" s="1"/>
  <c r="F253" i="10"/>
  <c r="F41" i="1" l="1"/>
  <c r="E41" i="1" s="1"/>
  <c r="F300" i="10"/>
  <c r="C44" i="1" s="1"/>
  <c r="D41" i="1" s="1"/>
  <c r="F19" i="17"/>
  <c r="F17" i="17"/>
  <c r="F15" i="17"/>
  <c r="F20" i="17" l="1"/>
  <c r="F9" i="17"/>
  <c r="A1" i="17"/>
  <c r="F66" i="3"/>
  <c r="G66" i="3" s="1"/>
  <c r="F10" i="17" l="1"/>
  <c r="F22" i="17" s="1"/>
  <c r="C53" i="1" l="1"/>
  <c r="F53" i="1"/>
  <c r="D46" i="1"/>
  <c r="F46" i="1"/>
  <c r="E46" i="1" s="1"/>
  <c r="F147" i="6"/>
  <c r="F145" i="6"/>
  <c r="F143" i="6"/>
  <c r="F126" i="6"/>
  <c r="F124" i="6"/>
  <c r="F122" i="6"/>
  <c r="F120" i="6"/>
  <c r="F117" i="6"/>
  <c r="F106" i="6"/>
  <c r="F102" i="6"/>
  <c r="F96" i="6"/>
  <c r="F94" i="6"/>
  <c r="F72" i="6"/>
  <c r="F69" i="6"/>
  <c r="F67" i="6"/>
  <c r="F39" i="6"/>
  <c r="F37" i="6"/>
  <c r="F35" i="6"/>
  <c r="F27" i="6"/>
  <c r="F25" i="6"/>
  <c r="F17" i="6"/>
  <c r="F15" i="6"/>
  <c r="F13" i="6"/>
  <c r="F212" i="5"/>
  <c r="F210" i="5"/>
  <c r="F208" i="5"/>
  <c r="F206" i="5"/>
  <c r="F204" i="5"/>
  <c r="F194" i="5"/>
  <c r="F202" i="5"/>
  <c r="F200" i="5"/>
  <c r="F198" i="5"/>
  <c r="F196" i="5"/>
  <c r="F192" i="5"/>
  <c r="F130" i="5"/>
  <c r="F128" i="5"/>
  <c r="F98" i="5"/>
  <c r="F96" i="5"/>
  <c r="F16" i="5"/>
  <c r="F24" i="5"/>
  <c r="F22" i="5"/>
  <c r="F20" i="5"/>
  <c r="F18" i="5"/>
  <c r="F13" i="5"/>
  <c r="F171" i="4"/>
  <c r="F169" i="4"/>
  <c r="F167" i="4"/>
  <c r="F165" i="4"/>
  <c r="F163" i="4"/>
  <c r="F161" i="4"/>
  <c r="F159" i="4"/>
  <c r="F157" i="4"/>
  <c r="G157" i="4" s="1"/>
  <c r="F155" i="4"/>
  <c r="G155" i="4" s="1"/>
  <c r="F153" i="4"/>
  <c r="G153" i="4" s="1"/>
  <c r="F151" i="4"/>
  <c r="G151" i="4" s="1"/>
  <c r="F149" i="4"/>
  <c r="G149" i="4" s="1"/>
  <c r="F147" i="4"/>
  <c r="F145" i="4"/>
  <c r="F41" i="4"/>
  <c r="G41" i="4" s="1"/>
  <c r="F37" i="4"/>
  <c r="G37" i="4" s="1"/>
  <c r="F35" i="4"/>
  <c r="G35" i="4" s="1"/>
  <c r="F33" i="4"/>
  <c r="G33" i="4" s="1"/>
  <c r="D31" i="4"/>
  <c r="F31" i="4" s="1"/>
  <c r="G31" i="4" s="1"/>
  <c r="F29" i="4"/>
  <c r="G29" i="4" s="1"/>
  <c r="F26" i="4"/>
  <c r="G26" i="4" s="1"/>
  <c r="F24" i="4"/>
  <c r="G24" i="4" s="1"/>
  <c r="F22" i="4"/>
  <c r="G22" i="4" s="1"/>
  <c r="F134" i="4"/>
  <c r="G134" i="4" s="1"/>
  <c r="F132" i="4"/>
  <c r="G132" i="4" s="1"/>
  <c r="F130" i="4"/>
  <c r="G130" i="4" s="1"/>
  <c r="F126" i="4"/>
  <c r="G126" i="4" s="1"/>
  <c r="F139" i="4"/>
  <c r="G139" i="4" s="1"/>
  <c r="F137" i="4"/>
  <c r="G137" i="4" s="1"/>
  <c r="F114" i="4"/>
  <c r="G114" i="4" s="1"/>
  <c r="F110" i="4"/>
  <c r="G110" i="4" s="1"/>
  <c r="F108" i="4"/>
  <c r="G108" i="4" s="1"/>
  <c r="F106" i="4"/>
  <c r="G106" i="4" s="1"/>
  <c r="F104" i="4"/>
  <c r="G104" i="4" s="1"/>
  <c r="F102" i="4"/>
  <c r="G102" i="4" s="1"/>
  <c r="F99" i="4"/>
  <c r="G99" i="4" s="1"/>
  <c r="F91" i="4"/>
  <c r="G91" i="4" s="1"/>
  <c r="F89" i="4"/>
  <c r="G89" i="4" s="1"/>
  <c r="F87" i="4"/>
  <c r="G87" i="4" s="1"/>
  <c r="F85" i="4"/>
  <c r="G85" i="4" s="1"/>
  <c r="F83" i="4"/>
  <c r="G83" i="4" s="1"/>
  <c r="F81" i="4"/>
  <c r="G81" i="4" s="1"/>
  <c r="D79" i="4"/>
  <c r="F79" i="4" s="1"/>
  <c r="G79" i="4" s="1"/>
  <c r="F77" i="4"/>
  <c r="G77" i="4" s="1"/>
  <c r="F74" i="4"/>
  <c r="G74" i="4" s="1"/>
  <c r="F72" i="4"/>
  <c r="G72" i="4" s="1"/>
  <c r="F70" i="4"/>
  <c r="G70" i="4" s="1"/>
  <c r="F68" i="4"/>
  <c r="G68" i="4" s="1"/>
  <c r="D66" i="4"/>
  <c r="F66" i="4" s="1"/>
  <c r="G66" i="4" s="1"/>
  <c r="F64" i="4"/>
  <c r="G64" i="4" s="1"/>
  <c r="F62" i="4"/>
  <c r="G62" i="4" s="1"/>
  <c r="F60" i="4"/>
  <c r="G60" i="4" s="1"/>
  <c r="F50" i="4"/>
  <c r="G50" i="4" s="1"/>
  <c r="F48" i="4"/>
  <c r="G48" i="4" s="1"/>
  <c r="F19" i="4"/>
  <c r="F17" i="4"/>
  <c r="F13" i="4"/>
  <c r="A1" i="4"/>
  <c r="G173" i="4" l="1"/>
  <c r="G141" i="4"/>
  <c r="E21" i="1" s="1"/>
  <c r="F139" i="6"/>
  <c r="G43" i="4"/>
  <c r="F20" i="1" s="1"/>
  <c r="F88" i="6"/>
  <c r="F188" i="5"/>
  <c r="F43" i="4"/>
  <c r="E20" i="1" s="1"/>
  <c r="F173" i="4"/>
  <c r="C22" i="1" s="1"/>
  <c r="F157" i="6"/>
  <c r="F141" i="4"/>
  <c r="C21" i="1" s="1"/>
  <c r="F214" i="5"/>
  <c r="F92" i="5"/>
  <c r="C31" i="1"/>
  <c r="C36" i="1"/>
  <c r="C30" i="1"/>
  <c r="E36" i="1" l="1"/>
  <c r="F36" i="1"/>
  <c r="E34" i="1"/>
  <c r="F34" i="1"/>
  <c r="F27" i="1"/>
  <c r="E27" i="1"/>
  <c r="E26" i="1"/>
  <c r="F26" i="1"/>
  <c r="F25" i="1"/>
  <c r="E25" i="1"/>
  <c r="C35" i="1"/>
  <c r="E35" i="1"/>
  <c r="F35" i="1"/>
  <c r="G175" i="4"/>
  <c r="F21" i="1"/>
  <c r="E22" i="1"/>
  <c r="F22" i="1"/>
  <c r="F175" i="4"/>
  <c r="F159" i="6"/>
  <c r="F382" i="5"/>
  <c r="C34" i="1"/>
  <c r="F33" i="1" l="1"/>
  <c r="E33" i="1" s="1"/>
  <c r="F24" i="1"/>
  <c r="E24" i="1" s="1"/>
  <c r="F19" i="1"/>
  <c r="E19" i="1" s="1"/>
  <c r="D33" i="1"/>
  <c r="F56" i="3"/>
  <c r="H56" i="3" s="1"/>
  <c r="F47" i="7"/>
  <c r="F43" i="7"/>
  <c r="F39" i="7"/>
  <c r="F35" i="7"/>
  <c r="F31" i="7"/>
  <c r="F30" i="7"/>
  <c r="F27" i="7"/>
  <c r="F21" i="7"/>
  <c r="F18" i="7"/>
  <c r="F14" i="7"/>
  <c r="A1" i="7"/>
  <c r="F55" i="7" l="1"/>
  <c r="C39" i="1"/>
  <c r="D38" i="1" s="1"/>
  <c r="F38" i="1" s="1"/>
  <c r="E38" i="1" s="1"/>
  <c r="F57" i="7" l="1"/>
  <c r="F54" i="3"/>
  <c r="H54" i="3" s="1"/>
  <c r="C27" i="1" l="1"/>
  <c r="F26" i="3"/>
  <c r="G26" i="3" s="1"/>
  <c r="F62" i="3"/>
  <c r="H62" i="3" s="1"/>
  <c r="F64" i="3"/>
  <c r="H64" i="3" s="1"/>
  <c r="F52" i="3"/>
  <c r="H52" i="3" s="1"/>
  <c r="F50" i="3"/>
  <c r="H50" i="3" s="1"/>
  <c r="F48" i="3"/>
  <c r="H48" i="3" s="1"/>
  <c r="F14" i="3"/>
  <c r="G14" i="3" s="1"/>
  <c r="F46" i="3"/>
  <c r="F12" i="3"/>
  <c r="G12" i="3" s="1"/>
  <c r="G42" i="3" l="1"/>
  <c r="F16" i="1" s="1"/>
  <c r="F74" i="3"/>
  <c r="C17" i="1" s="1"/>
  <c r="H46" i="3"/>
  <c r="G74" i="3" s="1"/>
  <c r="F17" i="1" s="1"/>
  <c r="F42" i="3"/>
  <c r="C16" i="1" s="1"/>
  <c r="C25" i="1"/>
  <c r="C26" i="1"/>
  <c r="H74" i="3" l="1"/>
  <c r="G76" i="3"/>
  <c r="F15" i="1" s="1"/>
  <c r="D15" i="1"/>
  <c r="D24" i="1"/>
  <c r="F76" i="3"/>
  <c r="A1" i="16"/>
  <c r="A1" i="15"/>
  <c r="A1" i="14"/>
  <c r="A1" i="12"/>
  <c r="A1" i="11"/>
  <c r="G17" i="1" l="1"/>
  <c r="H76" i="3"/>
  <c r="G15" i="1" s="1"/>
  <c r="G66" i="1" s="1"/>
  <c r="F66" i="1"/>
  <c r="F68" i="1" s="1"/>
  <c r="F70" i="1" s="1"/>
  <c r="F71" i="1" s="1"/>
  <c r="F72" i="1" s="1"/>
  <c r="A1" i="3"/>
  <c r="E15" i="1" l="1"/>
  <c r="E66" i="1" s="1"/>
  <c r="C77" i="1"/>
  <c r="E68" i="1" l="1"/>
  <c r="E70" i="1" s="1"/>
  <c r="E71" i="1" s="1"/>
  <c r="E72" i="1" s="1"/>
  <c r="G67" i="1"/>
  <c r="G68" i="1" s="1"/>
  <c r="G70" i="1" s="1"/>
  <c r="G71" i="1" s="1"/>
  <c r="G72" i="1" s="1"/>
  <c r="C78" i="1"/>
  <c r="A7" i="1"/>
  <c r="A6" i="1" l="1"/>
  <c r="C20" i="1"/>
  <c r="D19" i="1" s="1"/>
  <c r="D66" i="1" s="1"/>
  <c r="D67" i="1" s="1"/>
  <c r="D68" i="1" l="1"/>
  <c r="D70" i="1" s="1"/>
  <c r="D71" i="1" l="1"/>
  <c r="D72" i="1" s="1"/>
  <c r="H66" i="1"/>
  <c r="H67" i="1" s="1"/>
  <c r="H68" i="1" s="1"/>
  <c r="H70" i="1" s="1"/>
  <c r="H71" i="1" s="1"/>
  <c r="H72" i="1" s="1"/>
</calcChain>
</file>

<file path=xl/sharedStrings.xml><?xml version="1.0" encoding="utf-8"?>
<sst xmlns="http://schemas.openxmlformats.org/spreadsheetml/2006/main" count="3825" uniqueCount="1727">
  <si>
    <t>1.2</t>
  </si>
  <si>
    <t>Št. postavke</t>
  </si>
  <si>
    <t>Opis</t>
  </si>
  <si>
    <t>Znesek v EUR brez DDV</t>
  </si>
  <si>
    <t>Enota</t>
  </si>
  <si>
    <t>Cena v EUR</t>
  </si>
  <si>
    <t>Vrednost brez DDV</t>
  </si>
  <si>
    <t>Preddela</t>
  </si>
  <si>
    <t>SKUPAJ</t>
  </si>
  <si>
    <t>Količina</t>
  </si>
  <si>
    <t>kos</t>
  </si>
  <si>
    <t>m2</t>
  </si>
  <si>
    <t>Rekapitulacija</t>
  </si>
  <si>
    <t>V priloženem popisu je v nekaterih postavkah zaradi ustreznejšega opisa materialov ali opreme v informativne namene naveden tudi proizvajalec in tip materiala ali opreme. Navedba je zgolj informativne narave in se lahko ponudi material oz. oprema, ki je enakovredna (68 člen ZJN-3).</t>
  </si>
  <si>
    <t>DDV (22%)</t>
  </si>
  <si>
    <t>1.1.2</t>
  </si>
  <si>
    <t>1.1.1</t>
  </si>
  <si>
    <t>SKUPAJ  (Z DDV)</t>
  </si>
  <si>
    <t>Nepredvidena dela (Opomba: Nepredvidena dela znašajo 10% vseh del)</t>
  </si>
  <si>
    <t>SKUPAJ z nepredvidenimi deli</t>
  </si>
  <si>
    <t>1.</t>
  </si>
  <si>
    <t>1.1</t>
  </si>
  <si>
    <t>1.2.1</t>
  </si>
  <si>
    <t>1.2.2</t>
  </si>
  <si>
    <t>Projekt</t>
  </si>
  <si>
    <t>Šifra projeka</t>
  </si>
  <si>
    <t>Faza</t>
  </si>
  <si>
    <t>PZI</t>
  </si>
  <si>
    <t>Investitior</t>
  </si>
  <si>
    <t>Odgovorna oseba</t>
  </si>
  <si>
    <t>Ljubljanski</t>
  </si>
  <si>
    <t>Verovškova ulica 64</t>
  </si>
  <si>
    <t xml:space="preserve">urbanistični </t>
  </si>
  <si>
    <t>SI-1000 Ljubljana</t>
  </si>
  <si>
    <t>zavod, d. d.</t>
  </si>
  <si>
    <t>Slovenija</t>
  </si>
  <si>
    <t>Datum</t>
  </si>
  <si>
    <t>Šifra projekta</t>
  </si>
  <si>
    <t>Tadej Pfajfar, 
univ. dipl. inž. geod.</t>
  </si>
  <si>
    <t>Mestna občina Nova Gorica
Trg Edvarda Kardelja 1
5000 Nova Gorica</t>
  </si>
  <si>
    <t>m3</t>
  </si>
  <si>
    <t>2.</t>
  </si>
  <si>
    <t>2.1</t>
  </si>
  <si>
    <t>2.2</t>
  </si>
  <si>
    <t>SKUPAJ (BREZ DDV)</t>
  </si>
  <si>
    <t>UREDITEV RAFUTSKEGA PARKA Z LAŠČAKOVO VILO - Park</t>
  </si>
  <si>
    <t>Vila Palm</t>
  </si>
  <si>
    <t>Urbana oprema</t>
  </si>
  <si>
    <t>Pergola</t>
  </si>
  <si>
    <t>3.</t>
  </si>
  <si>
    <t>4.</t>
  </si>
  <si>
    <t>5.</t>
  </si>
  <si>
    <t>6.</t>
  </si>
  <si>
    <t>7.</t>
  </si>
  <si>
    <t>Vodni motiv</t>
  </si>
  <si>
    <t>Zunanja ureditev</t>
  </si>
  <si>
    <t>Skupaj urbana oprema:</t>
  </si>
  <si>
    <t>Skupaj pergola:</t>
  </si>
  <si>
    <t>Ograje</t>
  </si>
  <si>
    <t>Otroško igrišče</t>
  </si>
  <si>
    <t>Skupaj otroško igrišče:</t>
  </si>
  <si>
    <t>8.</t>
  </si>
  <si>
    <t>9.</t>
  </si>
  <si>
    <t>10.</t>
  </si>
  <si>
    <t>Elektrika</t>
  </si>
  <si>
    <t>2.3</t>
  </si>
  <si>
    <t>3.1</t>
  </si>
  <si>
    <t>4.1</t>
  </si>
  <si>
    <t>5.1</t>
  </si>
  <si>
    <t>6.1</t>
  </si>
  <si>
    <t>m1</t>
  </si>
  <si>
    <t>kg</t>
  </si>
  <si>
    <t>kpl</t>
  </si>
  <si>
    <t>1.2.3</t>
  </si>
  <si>
    <t>1.2.4</t>
  </si>
  <si>
    <t>4.2</t>
  </si>
  <si>
    <t>4.3</t>
  </si>
  <si>
    <t>1.1.6</t>
  </si>
  <si>
    <t>Dobava, nabava in vgradnja PP filca 150g/m2</t>
  </si>
  <si>
    <t>Izkop zemljine IV. kat in odvoz na trajno deponijo.</t>
  </si>
  <si>
    <t>Izdlava ograje iz bambusovih stebel skupne višine 105cm, svetle višine 75cm po navodilih in detajlu arhitekta. Ograja je zaklinjena v tla v globini 30cm in ima 2 horizontalni prečki na višinah 25 in 75cm. Vsa vezava izvedena z vrvmi</t>
  </si>
  <si>
    <t>Dobava, nabava in montaža ograje iz panelov iz ekspandirane pločevine (ekspandirana pločevina, rezana pod kotom (paralelogram), vertikalna okenca »karo« 98x48, debelina oz. višina ekspandirane pločevine 3,5mm, propustnost 88%), skupaj z varjenim okvirjem iz pocinkanih barvanih profilov L (40/40/5mm). Stebrički iz pocinkanega in barvanega škatlastega profila 60/80/5mm s ploščico 60/200/5mm. Skupaj z vsem potrebnim materialom za vijačenje na pasovni temelj. Ograja izdelana po detajlu arhitekta. Skupaj z vsemi deli. Višina ograje 2,1m.</t>
  </si>
  <si>
    <t>Dobava, nabava in vgradnja tamponskega drobljenca TD0/22 - nasutje za pot v debelini do 30 cm</t>
  </si>
  <si>
    <t>Restavratorska dela</t>
  </si>
  <si>
    <t>ml</t>
  </si>
  <si>
    <t>Restavratorka dela</t>
  </si>
  <si>
    <t>POPIS DEL S PREDIZMERAMI IN PREDRAČUNOM</t>
  </si>
  <si>
    <t>OBJEKT:</t>
  </si>
  <si>
    <t>Rafutski park</t>
  </si>
  <si>
    <t>NAČRT:</t>
  </si>
  <si>
    <t>Načrt vodovoda</t>
  </si>
  <si>
    <t>DEL:</t>
  </si>
  <si>
    <t>hišni priključek
hidrant</t>
  </si>
  <si>
    <t>INVESTITOR:</t>
  </si>
  <si>
    <t>ŠT. PROJEKTA:</t>
  </si>
  <si>
    <t>ŠT. NAČRTA:</t>
  </si>
  <si>
    <t>8697_V</t>
  </si>
  <si>
    <t>FAZA:</t>
  </si>
  <si>
    <t>DATUM:</t>
  </si>
  <si>
    <t>REKAPITULACIJA</t>
  </si>
  <si>
    <t>GRADBENA DELA</t>
  </si>
  <si>
    <t>EUR</t>
  </si>
  <si>
    <t>MONTAŽNA DELA</t>
  </si>
  <si>
    <t>NABAVA MATERIALA</t>
  </si>
  <si>
    <t>SKUPAJ (brez DDV)</t>
  </si>
  <si>
    <t>Strojni izkop jarka globine do 1,30 m v terenu III.-IV. kat. z nakladanjem na kamion. Brežine se izvajajo v naklonu 70°. Obračun za 1 m3.</t>
  </si>
  <si>
    <t>Ročni izkop jarka globine do 1,30 m v terenu III. kat. z nakladanjem na kamion. Brežine se izvajajo v naklonu 70°. Obračun za 1 m3.</t>
  </si>
  <si>
    <t xml:space="preserve"> </t>
  </si>
  <si>
    <t>Ročno planiranje dna jarka v projektiranem padcu. Obračun za 1 m2.</t>
  </si>
  <si>
    <t>Odvoz odkopanega materiala  na trajno gradbeno deponijo do 15 km z nakladanjem na kamion, razkladanjem, razgrinjanjem, planiranjem in utrjevanjem v slojih po 50 cm. Cena vključuje tudi strošek deponije. Obračun za 1 m3.</t>
  </si>
  <si>
    <t>Kompletna gradbena dela za vgradnjo vodomernega jaška: strojno-ročni izkop globine cca 1,80 m in tlorisne površine 1,50x1,50 m, izdelava tamponskega sloja v deb. 20 cm gr. 0-32 mm,  montaža betonskega temelja premera 1,4 m in deb. 20 cm, montaža vodomernega jaška, zasip gradbene jame z izkopanim materialom, utrjevanje zasipa in odvoz viška materiala.  Končna ureditev terena se izvede v prehodno stanje. Obračun za 1 kos.</t>
  </si>
  <si>
    <t>Obbetoniranje odcepov, hidrantov, odzračevalnih garnitur, lokov in podbetoniranje NL elementov v jaških, s porabo betona do 0.15-0.40 m3/kos.</t>
  </si>
  <si>
    <t>Zavarovanje nastavkov za zasune, odzračevalne garniture in hidrante z betonskimi montažnimi podložkami, ter namestitev cestnih kap na končno niveleto terena ali cestišča. Obračun za 1 kos.</t>
  </si>
  <si>
    <t>Nabava in vgradnja sider in stebričkov  označevalnih tablic  za oznako hidrantov, odzračevalnih garnitur in zasunov. Sidro: vroče cinkano, dolžina 600 mm. Stebriček: Al cev d 50 mm, višina 2400 mm.  Obračun za 1 kos.</t>
  </si>
  <si>
    <t>Obsip hidrantov in odzračevalnih armatur s peščenim materialom (cca 2 m3/ kos fr.0-32 mm).
Obračun za 1 kos.</t>
  </si>
  <si>
    <t>Črpanje vode iz gradbene jame v času gradnje.
Obračun za 1 uro.</t>
  </si>
  <si>
    <t>ur</t>
  </si>
  <si>
    <t>Čiščenje terena po končani gradnji.
Obračun za 1m2.</t>
  </si>
  <si>
    <t>skupaj</t>
  </si>
  <si>
    <t>Priprava gradbišča, določitev deponije vodovodnega materiala in zavarovanje. Po končanih delih se gradbišče pospravi in vzpostavi v prvotno stanje.</t>
  </si>
  <si>
    <t>priprava 100%</t>
  </si>
  <si>
    <t>vzpostavitev 100%</t>
  </si>
  <si>
    <t>Prenos, spuščanje in polaganje NL elementov teže do 25 kg v jarek ter poravnanje v vertikalni in horizontalni smeri. Obračun za 1 kos.</t>
  </si>
  <si>
    <t>Prenos, spuščanje in polaganje NL elementov teže do 25-50 kg v jarek ter poravnanje v vertikalni in horizontalni smeri. Obračun za 1 kos.</t>
  </si>
  <si>
    <t>Uvlačenje cevi  PE 100, PN 16, d 50 v zaščitno cev PE d 90. Obračun za 1 m1.</t>
  </si>
  <si>
    <t>Prenos, spuščanje in polaganje cevi PE d 90 v jarek ter poravnanje v horizontalni in vertikalni smeri. Obračun za 1 m1.</t>
  </si>
  <si>
    <t>Demontaža univerzalnega navrtnega zasuna.</t>
  </si>
  <si>
    <t>Montaža reperaturnega kosa DN 100.</t>
  </si>
  <si>
    <t>Montaža univerzalnega navrtnega zasuna za cevovod NL DN 100 z montažo vgradne garniture in cestne kape, vključno s prehodno ločno spojko za PE cev d 50. Obračun za 1 kos.</t>
  </si>
  <si>
    <t>Montaža fazonskih kosov DN 80 na prirobnico. Obračun za 1 kos.</t>
  </si>
  <si>
    <t>Montaža fazonskih kosov DN 100 na prirobnico. Obračun za 1 kos.</t>
  </si>
  <si>
    <t>Montaža zapornega ventila z vgradno garnituro, talno kapo in montažno podložno ploščo, DN 80, na prirobnico. Obračun za 1 kos.</t>
  </si>
  <si>
    <t>Montaža podtalnega hidranta-blatnika, DN 80, na prirobnico. Obračun za 1 kos.</t>
  </si>
  <si>
    <t>Montaža elementov na vodomernem mestu. Obračun za 1 vodomerni jašek.</t>
  </si>
  <si>
    <t>Nabava, dobava in montaža 
tablic za označevanje hidrantov, zračnikov in zasunov. Obračun za 1 kos.</t>
  </si>
  <si>
    <t>Priprava na izvedbo tlačnega preizkusa. Obračun na 1 kos.</t>
  </si>
  <si>
    <t>Izpiranje cevi hišnih priključkov.
Obračun za 1 kos.</t>
  </si>
  <si>
    <t>Nabava in polaganje opozorilnega traku nad cevmi hišnih priključkov.</t>
  </si>
  <si>
    <t>cevi</t>
  </si>
  <si>
    <t xml:space="preserve">Cev PE 100, PN 10, d 50.      </t>
  </si>
  <si>
    <t xml:space="preserve">Cev PE 80, PN 8, d 90.      </t>
  </si>
  <si>
    <t>NL fazonski kosi, prirobnični spoj</t>
  </si>
  <si>
    <t>FFR kos, PN 10-16, DN 100/80.</t>
  </si>
  <si>
    <t>FF kos, l=500 mm, PN 10-16, DN 80.</t>
  </si>
  <si>
    <t>N kos, PN 10-16, DN 80.</t>
  </si>
  <si>
    <t>Univerzalna spojka na NL cev DN 100, PN 10-16, DN 100.</t>
  </si>
  <si>
    <t>reperaturna objemka</t>
  </si>
  <si>
    <t>Reperaturna objenka za cev NL DN 100.</t>
  </si>
  <si>
    <t>NL vodovodne armature</t>
  </si>
  <si>
    <t>Zaporni ventil z vgradno garnituro, talno kapo in montažno podložno ploščo, PN 10, DN 80, hvgr=1.5-2.3 m.</t>
  </si>
  <si>
    <t>Podtalni hidrant-blatnik, s cestno kapo in montažno podložno ploščo, DN 80, PN 10, z vgradno dolžino l=1.25 m.</t>
  </si>
  <si>
    <t>Univerzalni navrtni zasun za NL cev kompletno s stremenom, ločno vrtljivo spojko za PE cev d 50, z vgradno garnituro in cestno kapo s podložnim obročem
DN 100 / d 50</t>
  </si>
  <si>
    <t>Vodomerni jašek iz poliestra: premer 1000 mm, globina 1,7 m; kompletno z armiranobetonskim vencem in povoznim pokrovom iz NL, (standard D400), dim. 600x600 mm (s toplotno izolacijo pokrova z EPS ploščo deb. 4 cm), vstopno lestvijo iz nerjavečega jekla oz. vstopnimi stopnicami skladnimi z veljavnimi standardi ter vodotesnimi mašetami na prehodu cevi skozi steno. 
1 priključno mesto</t>
  </si>
  <si>
    <t>vodomerno mesto</t>
  </si>
  <si>
    <t>prehodna spojka, d50/6/4"</t>
  </si>
  <si>
    <t>zmanjševalni kos 6/4"/1"</t>
  </si>
  <si>
    <t>krogelni ventil, 6/4"</t>
  </si>
  <si>
    <t>krogelni ventil, 6/4", z izpustom</t>
  </si>
  <si>
    <t>večnatočni vodomer, DN 25 (1"), skupaj s holandcema in nepovratnim ventilom (vložek), z možnostjo namestitve impulznega senzorja</t>
  </si>
  <si>
    <t>konzola za namestitev vodomera DN 25</t>
  </si>
  <si>
    <t>profilirana medprirobnična tesnila z jeklenim obročem</t>
  </si>
  <si>
    <t>DN 80</t>
  </si>
  <si>
    <t>DN 100</t>
  </si>
  <si>
    <t xml:space="preserve">vijaki z matico in podložko iz nerjavečega materiala </t>
  </si>
  <si>
    <t>za DN 80 - M16/70</t>
  </si>
  <si>
    <t>za DN 100 - M 16/70</t>
  </si>
  <si>
    <t>Dodatni in nepredvideni material</t>
  </si>
  <si>
    <t>Transportni stroški nabave materiala.</t>
  </si>
  <si>
    <t>NABAVA VODOVODNEGA MATERIALA</t>
  </si>
  <si>
    <t>interno vodovodno omrežje</t>
  </si>
  <si>
    <t>PRIPRAVLJALNA DELA</t>
  </si>
  <si>
    <t>ZEMELJSKA DELA</t>
  </si>
  <si>
    <t>1,0</t>
  </si>
  <si>
    <t>PRIPRAVLJANA DELA</t>
  </si>
  <si>
    <t>Zakoličenje osi cevovoda z zavarovanjem osi, oznako horizontalnih in vertikalnih lomov, oznako vozlišč, odcepov in zakoličba mesta prevezave na obstoječi cevovod. Obračun za 1 m1.</t>
  </si>
  <si>
    <t>Postavitev gradbenih profilov na vzpostavljeno os trase cevovoda ter določitev nivoja za merjenje globine izkopa in polaganje cevovoda. Obračun za 1 kos.</t>
  </si>
  <si>
    <t>2,0</t>
  </si>
  <si>
    <t>Površinski odkop humusa v poprečni debelini 20 cm, z odrivom do 10 m od roba izkopa. Obračun za 1 m3.</t>
  </si>
  <si>
    <t>Strojni izkop jarka globine do 1,30 m v terenu III. kat. z nakladanjem na kamion. Brežine se izvajajo v naklonu 70°. Obračun za 1 m3.</t>
  </si>
  <si>
    <t>Odvoz odkopanega materiala  na trajno gradbeno deponijo do 5 km z nakladanjem na kamion, razkladanjem, razgrinjanjem, planiranjem in utrjevanjem v slojih po 50 cm. Cena vključuje tudi strošek deponije. Obračun za 1 m3.</t>
  </si>
  <si>
    <t>Ročno planiranje dna jarka s točnostjo v projektiranem padcu. Obračun za 1 m2.</t>
  </si>
  <si>
    <t>Strojno razgrinjanje in grobo planiranje humusa v povprečni deb. 20 cm s premetom materiala do 10 m.
Obračun za 1 m3.</t>
  </si>
  <si>
    <t>Fino ročno planiranje humuziranih površin in ponovna zatravitev.
Obračun za 1m2.</t>
  </si>
  <si>
    <t>Izvedba priklopa zaščitne cevi na betonski jašek. Cena vsebuje vsa pomožna dela, prenose in materiale. Obračun za 1 kos.</t>
  </si>
  <si>
    <t>Prenos, spuščanje in polaganje cevi PE d 75 v jarek ter poravnanje v horizontalni in vertikalni smeri. Obračun za 1 m1.</t>
  </si>
  <si>
    <t>Uvlačenje cevi PE d 32 v zaščitno cev PE d 75. Obračun za 1 m1.</t>
  </si>
  <si>
    <t>Uvlačenje cevi PE d 50 v zaščitno cev PE d 90. Obračun za 1 m1.</t>
  </si>
  <si>
    <t>Montaža fitingov d 50.</t>
  </si>
  <si>
    <t>Izvedba tlačnega preizkusa cevovoda. Obračun za 1 kos.</t>
  </si>
  <si>
    <t>Dezinfekcija cevovoda pred izvedbo prevezav in vključitvijo v obratovanje. Postavka vključuje izpiranje cevovoda in pridobitev atesta ustreznosti kvalitete vode. Obračun za 1 kos.</t>
  </si>
  <si>
    <t>Nabava in polaganje signalnega traku nad vodovodnimi cevmi.
Obračun po 1 m1.</t>
  </si>
  <si>
    <t>PE cev 100, PN 10, d 32.</t>
  </si>
  <si>
    <t>PE cev 100, PN 10, d 50.</t>
  </si>
  <si>
    <t>PE cev 80, PN 8, d 75.</t>
  </si>
  <si>
    <t>PE cev 80, PN 8, d 90.</t>
  </si>
  <si>
    <t>PE fazonski kosi</t>
  </si>
  <si>
    <t>razcepni kos d 50/50</t>
  </si>
  <si>
    <t>reducirni kos d 50/32</t>
  </si>
  <si>
    <t>čep d 50</t>
  </si>
  <si>
    <t>SKUPNA REKAPITULACIJA</t>
  </si>
  <si>
    <t>cevovodi:</t>
  </si>
  <si>
    <t>hišni priključek, hidrant</t>
  </si>
  <si>
    <t>Davek na dodano vrednost  (22%)</t>
  </si>
  <si>
    <r>
      <t xml:space="preserve">PROJEKTANTSKA OCENA </t>
    </r>
    <r>
      <rPr>
        <b/>
        <sz val="9"/>
        <rFont val="Frutiger"/>
        <family val="2"/>
        <charset val="238"/>
      </rPr>
      <t>(vključno z DDV)</t>
    </r>
    <r>
      <rPr>
        <b/>
        <sz val="11"/>
        <rFont val="Frutiger"/>
        <family val="2"/>
        <charset val="238"/>
      </rPr>
      <t>:</t>
    </r>
  </si>
  <si>
    <t>Vodovod</t>
  </si>
  <si>
    <t>Hišni priključek, hidrant</t>
  </si>
  <si>
    <t>Interno vodovodno omrežje</t>
  </si>
  <si>
    <t>Dobava, navaba in vgradnja VRAT v obodni ograji: širine 1m, višine kot ograja, polnilo in okvir enako kot ograja, skupaj s kljuko/ključavnico. Vse po detajlu arhitekta.</t>
  </si>
  <si>
    <t xml:space="preserve">NN RAZVOD in ZUNANJA RAZSVETLJAVA  </t>
  </si>
  <si>
    <t>VIDEONADZOR</t>
  </si>
  <si>
    <t>Poz.</t>
  </si>
  <si>
    <t>Popis za dobavo in montažo</t>
  </si>
  <si>
    <t>m.e.</t>
  </si>
  <si>
    <t>kol.</t>
  </si>
  <si>
    <t>cena/enoto</t>
  </si>
  <si>
    <t>skupna cena</t>
  </si>
  <si>
    <t>Zakoličba predvidenih kabelskih tras, trasiranje (zarisovanje) (smerni kabli)</t>
  </si>
  <si>
    <t>m</t>
  </si>
  <si>
    <t>Zakoličba obstoječih kabelskih tras, trasiranje (optika, telefon, DEM kabli, elektro, KTV, kanalizacija, ...)</t>
  </si>
  <si>
    <t>Priprava del in materiala.</t>
  </si>
  <si>
    <t>SKUPAJ:</t>
  </si>
  <si>
    <t>količine za m1</t>
  </si>
  <si>
    <t>izkop strojni</t>
  </si>
  <si>
    <t>m³</t>
  </si>
  <si>
    <t>izkop ročni</t>
  </si>
  <si>
    <t>zasip s peskom okoli cevi</t>
  </si>
  <si>
    <t>tamponski zasip z utrditvijo</t>
  </si>
  <si>
    <t>cev 110</t>
  </si>
  <si>
    <t>ozemljitveni valjanec</t>
  </si>
  <si>
    <t>PVC distančnik</t>
  </si>
  <si>
    <t>PVC opozorilni trak</t>
  </si>
  <si>
    <t>odvoz odvečnega materiala na deponijo</t>
  </si>
  <si>
    <t>Dobava materiala in izdelava cevne kabelske kanalizacije preseka 1x iz PVC cevi 50mm, strojni izkop v zem. III. - IV. Ktg., v povozni površini, širina kanala 0,25m, globina kanala 0,81m, zaščita cevi z peskom, zasip kanala z tamponom z utrditvijo, nakladanje viška materiala in odvoz na deponijo, čiščenje trase</t>
  </si>
  <si>
    <t>cev 50</t>
  </si>
  <si>
    <t>Izdelava betonskih temeljev (700x700x1000 mm) v teren globine 1m na pripravljenu betonsko podlago (za kandelabre), komplet z temeljem in sidri z vijaki za montažo kandelabrov na bet. ploščo.</t>
  </si>
  <si>
    <t>kom</t>
  </si>
  <si>
    <t xml:space="preserve">Izdelava gradbenih jame za polaganje tipskega betonskega temelja za PS-PMO+RJR, dim. 250 x 800 x 1050 mm, na pripravljeno betonsko podlago, komplet  </t>
  </si>
  <si>
    <t>Drobna gradbena dela 5%.</t>
  </si>
  <si>
    <t>JAKI TOK</t>
  </si>
  <si>
    <t>I.</t>
  </si>
  <si>
    <t>RAZSVETLJAVA</t>
  </si>
  <si>
    <t>II.</t>
  </si>
  <si>
    <t>INSTALACIJSKI MATERIAL</t>
  </si>
  <si>
    <t>III.</t>
  </si>
  <si>
    <t>KABLI IN IZVODI</t>
  </si>
  <si>
    <t>Polaganje zemeljskega kabla 0,6 / 1kV, uvlečenega v zaščitne PVC cevi po celotni trasi jarka, komplet:</t>
  </si>
  <si>
    <t xml:space="preserve">NA2XY-J 4x70mm² </t>
  </si>
  <si>
    <t xml:space="preserve">NA2XY-J 4x16mm² </t>
  </si>
  <si>
    <t>Polaganje kabla v cev kabelske kanalizacije</t>
  </si>
  <si>
    <t>Izdelava priključkov na priključna mesta:</t>
  </si>
  <si>
    <t xml:space="preserve">do 10 mm2  </t>
  </si>
  <si>
    <t xml:space="preserve">do 1,5 mm2  </t>
  </si>
  <si>
    <t>IV.</t>
  </si>
  <si>
    <t>RAZDELILCI</t>
  </si>
  <si>
    <t>1 - ključavnica tip KO 10 - cilindrična</t>
  </si>
  <si>
    <t>1 - bremensko ločilno stikalo 40A, 3(4) polno</t>
  </si>
  <si>
    <t>5 - instalacijski odklopnik C16/3, 3p, 16A</t>
  </si>
  <si>
    <t>1 - preklopno stikalo R-0-A, 10A</t>
  </si>
  <si>
    <t>3 - instalacijski odklopnik B10/1, 1p, 10A</t>
  </si>
  <si>
    <t>1 - instalacijski odklopnik B6/1 - 6A</t>
  </si>
  <si>
    <t>4 - pomožni rele - 10A</t>
  </si>
  <si>
    <t>1 - 3 polni kontaktor 20A po fazi</t>
  </si>
  <si>
    <t>1 - Astro ura</t>
  </si>
  <si>
    <t xml:space="preserve">     droben, vezni in spojni material</t>
  </si>
  <si>
    <t>V.</t>
  </si>
  <si>
    <t>Valjanec Fe-Zn 25x4mm, za povezavo kandelabrov, položen v zemljo nad napajalnim kablom, pri prečkanju ceste pod asfaltiranimi površinami pa nad cevjo v kateri je napajalni kabel, komplet</t>
  </si>
  <si>
    <t>Ploščica za spoj valjanca na kandelaber, dimenzij         120 x 25 x 6 mm po detajlu "A" za načrt spoja valjanca na kandelaber in zaščitena z antikorozijskim premazom</t>
  </si>
  <si>
    <t>Izvedba raznih spojeh ( križni, vijačni, ….)</t>
  </si>
  <si>
    <t>TRANSPORT</t>
  </si>
  <si>
    <t>Montažni material in oprema, komplet.                          ( nakladanje, razkladanje, prevozi )</t>
  </si>
  <si>
    <t>Mivka in gradbeni material :                                         (nakladanje, razkladanje, prevozi)</t>
  </si>
  <si>
    <t>Razvoz, raznos materiala po delovišču</t>
  </si>
  <si>
    <t>km</t>
  </si>
  <si>
    <t>ZAKLJUČNA DELA</t>
  </si>
  <si>
    <t>Snemanje trase kablovoda in vris v kataster :</t>
  </si>
  <si>
    <t>Pregled in napetostni preizkus  NN kabla ter ostalih naprav, meritve instalacij, komplet.</t>
  </si>
  <si>
    <t>Kontrolne meritve:</t>
  </si>
  <si>
    <t>*osvetljenosti, svetlosti</t>
  </si>
  <si>
    <t>*galvanskih stikov, ozemljitve in izol. upornosti</t>
  </si>
  <si>
    <t>TK RAZVOD</t>
  </si>
  <si>
    <t>I. TELEFONSKA KABELSKA KANALIZACIJA</t>
  </si>
  <si>
    <t>Stroški zakoličbe ostalih podzemnih, komunalnih vodov - vodovod, elektrika …</t>
  </si>
  <si>
    <t>Odstranjevanje in nakladanje ruševin pri odstranjevanju asfalta, podložnega betona pod asfaltom ali pod robniki, ploščami ipd</t>
  </si>
  <si>
    <t>Dobava materiala in izdelava cevne kabelske kanalizacije iz 1x1 PVC cevi 110 mm, izkop v zemljišču III-IV. ktg. na globini 0,81m, širina izkopa 0,25cm, zaščita cevi s peskom v sloju 10 cm nad cevmi, zasip kanala z utrditvijo, nakladanje viška, čiščenje trase</t>
  </si>
  <si>
    <t>Stroški izvedbe križanje TK kabelske kanalizacije z drugimi podzemnimi instalacijami, skladno s pogoji upravljavcev, ocenjeno</t>
  </si>
  <si>
    <t>Dobava in vgrajevanje tampona - gramoza, nakladanje in odvoz viška matreriala na deponijo, stroški začasne in končne deponije, čiščenje trase</t>
  </si>
  <si>
    <t>Dobava materiala in izdelava armirano betonskega kabelskega jaška BC 60 v nepovozni površini, strojni izkop v zemljišču IV. ktg. jašek opremljen z LŽ lahkim pokrovom nosilnosti 125kN, enostranski opaž, nakladanje in odvoz odvečnega materiala ter stroški začasne in končne deponije, ometavanje in finalna obdelava jaška, čiščenje okolice</t>
  </si>
  <si>
    <t>Izdelava izvršilnega načrta kabelske kanalizacije, ki obsega situacijski in shematski načrt</t>
  </si>
  <si>
    <t>Izdelava načrta kabelskega jaška, ki obsega situacijo in plašč jaška</t>
  </si>
  <si>
    <t>Priprava in zavarovanje gradbišča</t>
  </si>
  <si>
    <t>SKUPAJ I</t>
  </si>
  <si>
    <t>Trdi disk WD Purple 6TB 3,5" SATA3 64 MB IntellPower</t>
  </si>
  <si>
    <t>Lokalna nadzorna postaja / osebni namizni računalnik 
CPU: Intel Core i7-6700  8 MB,4C/8T
RAM: 16 GB DDR3; HDD: 512GB SSD; DVD+/-RW DL; OHIŠJE: STOLP (pokončno/ležeče), napajalnik 320W; VGA: integrirana Intel HD 4600
Povezave: 10/100/1000 Mb/s mrežna kartica
brezžična tipkovnica + miška + video monitor 24"
Windows 10 Professional</t>
  </si>
  <si>
    <t>Sistem za brezžični prenos 5Ghz PFW-NSM5. Access point se montira na drog</t>
  </si>
  <si>
    <t>Monitor LED 24"; Priključki: HDMI, USB 2.0, DisplayPort, USB 3.0, Ločljivost: 2560x1440, Format zaslona: 16:9</t>
  </si>
  <si>
    <t xml:space="preserve">Organizator kablov 19" 1HU </t>
  </si>
  <si>
    <t>UTP CAT6 povezovalni kabel 1m</t>
  </si>
  <si>
    <t>Kabel FTP CAT6A 4x2xAWG 24</t>
  </si>
  <si>
    <t>Komunikacijska omara, sestavljeno iz 19" prostostoječe omare, višine 42HE (2000 mm), širine 600mm in globine 600mm, s steklenimi sprednjimi vrati, snemljivo zadnjo steno in vertikalnimi organizatorji. Omara ima vgrajene sledeče elemente: v strop vgrajeno hladilno enoto s štirimi ventilatorji z elektronskim termostatom,  dve fiksni perforiranimi polici, dve razdelilni jakotočni letvici s prenapetostno zaščito in devetimi šuko vtičnicami ter UPS 1,5 kVA 1f/1f. 8 minut avt,</t>
  </si>
  <si>
    <t>PN zaščitne inštalacijske cevi fi 16mm s pritrdilnim priborom ali NIK2 instalacijski kanal ali rebrasta podometna cev fi 23mm</t>
  </si>
  <si>
    <t>Montaža opreme na položene instalacije in zaključene kabelske povezave</t>
  </si>
  <si>
    <t xml:space="preserve">Zagon, nastavitve, programiranje in preizkušanje delovanja sistema </t>
  </si>
  <si>
    <t>Predaja sistema in šolanje uporabnika</t>
  </si>
  <si>
    <t>Razgledišče</t>
  </si>
  <si>
    <t>Pomol</t>
  </si>
  <si>
    <t>1.2.5</t>
  </si>
  <si>
    <t>Dobava, nabava in vgradnja tamponskega drobljenca TD0/22 - nasutje pot ploščo v debelini 30cm</t>
  </si>
  <si>
    <t>Nabava, dobava in montaža ekspandirane pločevine na podest (pohodne plošče ekspandirana pločevina, 1000x1000mm, horizontalna okenca »karo« 46x14, debelina pločevine 5,5mm, skupna debelina oz. višina ekspandirane pločevina 10,0mm, propustnost 26%)</t>
  </si>
  <si>
    <t>šoba KOMET 12T 1'' - 2,8m3/h</t>
  </si>
  <si>
    <t>INOX vgradna skodela</t>
  </si>
  <si>
    <t>črpalka za vodno atrakcijo 12 m3/h pri H:8m</t>
  </si>
  <si>
    <t>PVC cevni vod fi50</t>
  </si>
  <si>
    <t>IR senzor za vklop atrakcije ob prečkanju polja</t>
  </si>
  <si>
    <t>drobni montažni material</t>
  </si>
  <si>
    <t>FILTRIRNI SISTEM ZA MEHANSKO ČISTOČO VODE</t>
  </si>
  <si>
    <t>6-potni ventil</t>
  </si>
  <si>
    <t>cirkulacijska črpalka 6m3/h pri H:8m</t>
  </si>
  <si>
    <t>PVC cevni vod</t>
  </si>
  <si>
    <t>elektronska dozirna  črpalka za pH</t>
  </si>
  <si>
    <t>tekočina za uravnavanje pH-ja, 25 kg</t>
  </si>
  <si>
    <t xml:space="preserve">usmerniki povratne vode </t>
  </si>
  <si>
    <t>prehodi skozi stene - skoznik</t>
  </si>
  <si>
    <t>talni odtok</t>
  </si>
  <si>
    <t xml:space="preserve">ELEKTROKOMANDNA OMARICA za avtomatsko delovanje </t>
  </si>
  <si>
    <t>kpl.</t>
  </si>
  <si>
    <t>varovalni elementi</t>
  </si>
  <si>
    <t>diferenčno tokovno stikalo 30 mA</t>
  </si>
  <si>
    <t>zaščita pred preobremenitvijo</t>
  </si>
  <si>
    <t>stikalo avtomatsko ročno</t>
  </si>
  <si>
    <t>stikalo navadno</t>
  </si>
  <si>
    <t>dnevni programator dela</t>
  </si>
  <si>
    <t>vodotesna omarica za vgradnjo na prostem</t>
  </si>
  <si>
    <t>1.2.6</t>
  </si>
  <si>
    <t>1.2.7</t>
  </si>
  <si>
    <t>1.2.8</t>
  </si>
  <si>
    <t>Obstoječa servisna vrata na vhodu v park:
Dokumentacija stanja pred, med in po posegu;
transport v restavratorski atelje,
demontaža okovja,
mehanska ali kemična odstranitev barve - po potrebi (krila, podboj),
sanacija železa (večje manjše mehanske poškodbe),
čiščenje okovja,
grobo in fino brušenje
temeljna barva za kovino
končna barva za kovino
enak postopek velja za podboj, ki se restavrira na licu mesta,
montaža krila</t>
  </si>
  <si>
    <t>Dobava in polaganje kokosove mreže tipa: 400 g/m2 (kot npr. Euro-textile C400) s 100% vsebnostjo kokosovih vlaken (4x4 vlakna/dm2) na preoblikovanih strmih brežinah. Med izvedbo del bo izvajalec zagotovil, da bo mreža položena kontaktno na podlago, ker je le tako omogočeno pravilno delovanje. Smer polaganja pravokotno na dno brežine, razen če bo določeno drugače. Uporabijo se kovinski klini za pritrditev kokosove mreže dimenzije 20x10x20 cm.</t>
  </si>
  <si>
    <t>Humuziranje in zatravitev z vodno setvijo. Vrsta travne mešanice se prilagodi glede na lokacijo. Vsa dela okoli lesnatih rastlin se morajo izvesti v skladu z dodatnimi usmeritvami, podanimi na terenu s strani arbortista. Za semena mora biti pridobljen certifikat o
ustreznosti, ki ga izda ESCAA.</t>
  </si>
  <si>
    <t>Dobava in vgraditev geotekstilije za ločilno plast, natezna trdnost nad 14 do 16 kN/m2.</t>
  </si>
  <si>
    <t>Izdelava nevezane nosilne plasti enakomerno zrnatega drobljenca tamponski drobljenec 0/45mm v debelini 30cm. Tamponski material se mora pred uvaljanjem ustrezno navlažiti. Utrditev do predpisane vrednosti.</t>
  </si>
  <si>
    <t>Nadzor arborista za odstranitev, vzdrževanje in zasaditev.</t>
  </si>
  <si>
    <t xml:space="preserve">Priprava pisnega gradiva z navedenimi podrobnejšimi tehnikami odstranitev, vzdrževanja in drugih posegov ter zaznamki, za vsako drevo. Pisno gradivo potrdi arborist. Dela se lahko izvedejo zgolj na podlagi pridobljenega pozitivnega soglasja ZVKDS OE Nova Gorica in ZRSVN OE Nova Gorica. Pred začetkom izvajanja del se preveri oz. dopolni popis del z aktualnim stanjem. </t>
  </si>
  <si>
    <t>Tuje storitve</t>
  </si>
  <si>
    <r>
      <rPr>
        <b/>
        <sz val="10"/>
        <rFont val="Segoe UI"/>
        <family val="2"/>
        <charset val="238"/>
      </rPr>
      <t>Čiščenje</t>
    </r>
    <r>
      <rPr>
        <sz val="10"/>
        <color theme="1"/>
        <rFont val="Segoe UI"/>
        <family val="2"/>
        <charset val="238"/>
      </rPr>
      <t xml:space="preserve"> nasadov bambusa z odstranitvijo odmrlih, suhih in polomljenih stebel ter odstranitvijo druge vegetacije znotraj območij bambusa. Izvede se strokovno nižanje koncev povešavih stebel bambusa. Vključiti nalaganje in odvoz na deponijo z upoštevanjem navodil za ravnanje z invazivnimi vrstami. Vsa dela se morajo izvesti v skladu z dodatnimi usmeritvami, podanimi na terenu.</t>
    </r>
  </si>
  <si>
    <r>
      <rPr>
        <b/>
        <sz val="10"/>
        <rFont val="Segoe UI"/>
        <family val="2"/>
        <charset val="238"/>
      </rPr>
      <t xml:space="preserve">Odstranitev nasada bambusa </t>
    </r>
    <r>
      <rPr>
        <sz val="10"/>
        <rFont val="Segoe UI"/>
        <family val="2"/>
        <charset val="238"/>
      </rPr>
      <t>komplet s koreninami ter rizomi (do globine cca 70cm) izkopom in zasipom izkopa z ustrezno lokalno, kvalitetno zemljino, planiranje. Vključiti nalaganje in odvoz odpadnih delov na deponijo z upoštevanjem navodil za ravnanje z invazivnimi vrstami. Vsa dela se morajo izvesti v skladu z dodatnimi usmeritvami arborista, podanimi na terenu (pri odstranitvi je vključen izkop do globine 70 cm in nasutje enakovredno debelega sloja zemljine po navodilih arborista).</t>
    </r>
  </si>
  <si>
    <t>Odstranitev in čiščenje bambusovih sestojev</t>
  </si>
  <si>
    <t>Čiščenje območij zaraščenih z grmičevjem (v preteklosti načrtovanih zasaditev) skladno z načrtom KA in strokovnim mnenjem arborista. Izvede naj se odstranitev nadzemnih in čim več podzemnih delov vegetacije. Vključiti nalaganje in odvoz odpadnih delov na deponijo z upoštevanjem navodil za ravnanje z invazivnimi vrstami. Vsa dela se morajo izvesti v skladu z dodatnimi usmeritvami arborista svetovalca, podanimi na terenu.</t>
  </si>
  <si>
    <t>Odstranitev grmičevja</t>
  </si>
  <si>
    <r>
      <t>Odstranitev obstoječih panjev,</t>
    </r>
    <r>
      <rPr>
        <sz val="10"/>
        <rFont val="Segoe UI"/>
        <family val="2"/>
        <charset val="238"/>
      </rPr>
      <t xml:space="preserve"> po arborističnem načrtu. Odstranitev panja vključuje njegovo odstranitev s frezanjem ali ruvanjem, izravnavo in zapolnitev terena, čiščenje lokacije, odvoz odpadnega materiala na bližnjo deponijo. V primeru nastanka škode na sosednjih rastlinah ali talni podlagi je potrebno izvesti sanacijo, v skladu s podanimi smernicami pristojnih oseb (način odstranitve določi arborist glede na mikrolokacijo panja).</t>
    </r>
  </si>
  <si>
    <t>podiranje v enem</t>
  </si>
  <si>
    <t>podiranje po delih</t>
  </si>
  <si>
    <t>zahtevno podiranje po delih</t>
  </si>
  <si>
    <t xml:space="preserve">zelo zahtevno podiranje po delih </t>
  </si>
  <si>
    <t>Splošno za odstranitve parkovnih dreves: Odstranitve dreves (po delih, podiranje v enem na t.i. gozdarski način) je potrebno opraviti v skladu s smernicami čim bolj varnega odstranjevanja dreves v parkovnem/urbanem okolju ter v skladu z vsemi pravili varstva pri delu in drugo področno zakonodajo. Ta nevarna in zahtevna dela lahko opravlja zgolj primerno strokovno usposobljen izvajalec.</t>
  </si>
  <si>
    <t>Odstranitev večjih dreves in panjev</t>
  </si>
  <si>
    <t>Čiščenje obstoječih deponij vejevja in ostankov vegetacije z nakladanjem in odvozom na krajevno deponijo.</t>
  </si>
  <si>
    <r>
      <t>Splošno pri odvozu rastlinskega materiala na krajevno deponijo se upošteva komunalno deponijo oddaljenosti do 5km in plačilo komunalne takse. Pri izvajanju pripravljalnih del in čiščenja ne sme nastati škoda na vegetaciji, ki se ohranja. Pri uporabi mehanizacije, ki se mora glede velikosti in teže prilagoditi delu v parku, ne sme priti do nastanka zbitosti talne podlage. Na območjih s temno zeleno travo Japonska kačja brada (</t>
    </r>
    <r>
      <rPr>
        <i/>
        <sz val="10"/>
        <rFont val="Segoe UI"/>
        <family val="2"/>
        <charset val="238"/>
      </rPr>
      <t>Ophiopogon japonicus</t>
    </r>
    <r>
      <rPr>
        <sz val="10"/>
        <rFont val="Segoe UI"/>
        <family val="2"/>
        <charset val="238"/>
      </rPr>
      <t>), se naj dela prilagodi.</t>
    </r>
  </si>
  <si>
    <t xml:space="preserve">Čiščenje parkovnih površin </t>
  </si>
  <si>
    <t>Zahtevna dela na drevnini lahko izvede samo podjetje z referencami in z ustrezno usposobljenimi izvajalci / delavci (t.i. negovaleci dreves), ki morajo obrezovanje / obžagovanje urbanih dreves izvajati v skladu z zadnjimi smernicami t.i. sodobne arboristične stroke. Podjetje naj ima ustrezna zavarovanja za opravljanje te dejavnosti.</t>
  </si>
  <si>
    <r>
      <t xml:space="preserve">Vzdrževalna dela na drevesih in večjih lesnatih rastlinah ter palmah se morajo opraviti </t>
    </r>
    <r>
      <rPr>
        <b/>
        <sz val="10"/>
        <rFont val="Segoe UI"/>
        <family val="2"/>
        <charset val="238"/>
      </rPr>
      <t>v skladu z Evropskimi navodili za obžagovanje dreves (EAC, 2/2005) ter zadnjimi smernicami sodobne arboristične stroke za obravnavo dreves</t>
    </r>
    <r>
      <rPr>
        <sz val="10"/>
        <color theme="1"/>
        <rFont val="Segoe UI"/>
        <family val="2"/>
        <charset val="238"/>
      </rPr>
      <t xml:space="preserve"> ter v skladu z vsemi pravili varstva pri delu in drugo področno zakonodajo. </t>
    </r>
  </si>
  <si>
    <t xml:space="preserve">Odpadni rastlinski material, ki ni primeren za lesne sekance se naj odpelje na ustrezno bližnjo deponijo. Manjši lesni material se lahko zmelje v lesne sekance na začasni deponiji ali pa se na začasni deponiji ves odpadni rastlinski material naloži na večja vozila in odpelje na ustrezno skladišče - glede na dodatne usmeritve (MONG ter pristojne službe vzdrževalca). Srednje velike in večje lesne dele (ki so tudi po odstranitvi še vedno last lastnika, MONG), se naj obravnava v skladu z dogovorom in usmeritvami lastnika (npr. skladiščenje za lokalne potrebe; podarite/prodaja za drva; uporaba delov za protokolarne ali drobne mizarske izdelke,...). </t>
  </si>
  <si>
    <t>V času izvajanja vzdrževalnih del je potrebno širše območje delovišča ustrezno zapreti ter označiti. Po zaključku vzdrževalnih del je potrebno delovišče počistiti in po potrebi sanirati. Odstranjen rastlinski material je potrebno v celoti odstraniti iz parkovne površine, pri čemer se mora prilagoditi velikost mehanizacije za gibanje po parkovnih poteh. Iz območja parka se lahko ves odpadni rastlinski material prepelje z manjšo mehanizacijo in začasno skladišči na ustrezni lokaciji na robu parka.</t>
  </si>
  <si>
    <t>Dostop z večjo mehanizacijo se lahko izvaja zgolj po obstoječih utrjenih poteh. Vožnja ali parkiranje na območju zelenic, ni dovoljena. Upošteva se naj dovoljene trase premikanja po parku. Na območjih s "temno zeleno" travo (Ophiopogon japonicus), se naj dela prilagodi skladno z navodili arborista.</t>
  </si>
  <si>
    <t xml:space="preserve">Na območju Rafutskega parka se lahko dela na nekaterih lokacijah opravlja z uporabo dvižnih ploščadi, vendar zgolj na utrjenih površinah. Izjema je možnost uporabe mehanizacije v primeru statične nestabilnosti delov drevesa ali celotnega drevesa. Arboristične vrvne tehnike (AVT) se naj uporabljajo na vseh zelenih parkovnih površinah, težje dostopnih površinah in povsod tam, kjer naj ne pride do nastanka še večje zbitosti talne podlage ali kjer je dostop mehanizacije zelo zahteven ali nemogoč brez dodatnih posegov. </t>
  </si>
  <si>
    <t>Splošno za arboristična/odstranitvena dela: Pri odvozu rastlinskega materiala na krajevno deponijo se upošteva transport na komunalno deponijo oddaljenosti do 5km in plačilo komunalne takse. Zahtevna dela na višini in zahtevnejše odstranitve dreves lahko izvajajo zgolj primerno usposobljeni izvajalci. Tehnika dela se prilagodi situaciji (delo z uporabo dvižne ploščadi, delo z uporabo arborističnih vrvnih tehnik, kombinacija). Izvajanje vseh del, premikanje po parku, ureditev delovišč in začasne deponije se morajo prilagoditi visoki stopnji varovanja celotnega območja zavarovane parkovne površine (državnega in lokalnega pomena)!</t>
  </si>
  <si>
    <t>komplet za 4t povezavo drevesne krošnje
(50m, 10 povezav, dinamična/statična)</t>
  </si>
  <si>
    <t>komplet za 4t povezavo drevesne krošnje
(100m, 10 povezav, statična)</t>
  </si>
  <si>
    <t>komplet za 2t povezavo drevesne krošnje
(100 m, 15 povezav, dinamična/statična)</t>
  </si>
  <si>
    <t>komplet za 2t povezavo drevesne krošnje
(100 m, 15 povezav, statična)</t>
  </si>
  <si>
    <t xml:space="preserve">Nabava in dostava materiala vrvnih povezav krošnje drevesa ter namestitev sistema vrvne povezave v krošnjo drevesa po navodilih arborista. Tehnika dela se prilagodi situaciji (delo z uporabo dvižne ploščadi, delo z uporabo arborističnih vrvnih tehnik, kombinacija). </t>
  </si>
  <si>
    <t>Vzdrževalna dela na palmah. Vključuje odstranitev mrtvih, polomljenih starih listov; čiščenje delovišča, odvoz odpadnega materiala na deponijo skladno z navodili arborista.</t>
  </si>
  <si>
    <t>nad 20 m (ocenjen višinski razred drevesa); večvrhatost; različne tehnike obžagovanja, obravnava celotne krošnje</t>
  </si>
  <si>
    <t>nad 20 m (ocenjen višinski razred drevesa); enovrhatost; različne tehnike obžagovanja, obravnava celotne krošnje</t>
  </si>
  <si>
    <t>15 - 20 m (ocenjen višinski razred drevesa ali *izvajanje del do te višine); večvrhatost; različne tehnike obžagovanja, obravnava celotne krošnje</t>
  </si>
  <si>
    <t>15 - 20 m (ocenjen višinski razred drevesa ali *izvajanje del do te višine); enovrhatost; različne tehnike obžagovanja, obravnava celotne krošnje</t>
  </si>
  <si>
    <t>10 - 15 m (ocenjen višinski razred drevesa ali izvajanje del do te višine); različne tehnike obžagovanja, obravnava celotne krošnje</t>
  </si>
  <si>
    <t>5  - 10 m (ocenjen višinski razred drevesa ali izvajanje del do te višine); različne tehnike obžagovanja, obravnava celotne krošnje</t>
  </si>
  <si>
    <t>do 5 m (ocenjen višinski razred drevesa ali izvajanje del do te višine); različne tehnike obžagovanja, obravnava celotne krošnje</t>
  </si>
  <si>
    <t xml:space="preserve">Izvajanje različnih tehnik obžagovanja dreves in visokih grmovnic, obravnava celotne krošnje. Tehnika dela se prilagodi situaciji (delo s tal, delo z uporabo dvižne ploščadi, delo z uporabo arborističnih vrvnih tehnik, kombinacija). Obžagovanje drevesnih krošenj vključuje izvajanje tehnik obžagovanja po popisu in glede na stanje ter dodatna priporočila, čiščenje lokacije ter odvoz odpadnega materiala, v skladu z navodili arborista. V primeru nastanka škode na sosednjih rastlinah ali talni podlagi je potrebno izvesti sanacijo, v skladu s podanimi smernicami pristojnih oseb. </t>
  </si>
  <si>
    <t>Med tehnikami obžagovanja ima prioriteto čiščenje krošnje (odstranitev suhih vej in debel, poškodovanih ali polomljenih delov, štrcljev, obviselih in zalomljenih delov krošnje; vključuje tudi odstranitev bršljana in vzpenjavk iz debla ali krošnje dreves, odstranitev debelnih poganjkov in samosevnih rastlin ob drevesu). V skladu s podrobnejšim popisom del.</t>
  </si>
  <si>
    <r>
      <rPr>
        <b/>
        <sz val="10"/>
        <rFont val="Segoe Ul"/>
        <charset val="238"/>
      </rPr>
      <t>Dobava in polaganje kokosove mreže</t>
    </r>
    <r>
      <rPr>
        <sz val="10"/>
        <rFont val="Segoe Ul"/>
        <charset val="238"/>
      </rPr>
      <t xml:space="preserve"> tipa: 400 g/m2 (kot npr. Euro-textile C400) s 100% vsebnostjo kokosovih vlaken (4x4 vlakna/dm2) na brežini kjer se sadijo trajnice. Med izvedbo del bo izvajalec zagotovil, da bo mreža položena kontaktno na podlago, ker je le tako omogočeno pravilno delovanje. Smer polaganja pravokotno na dno brežine, razen če bo določeno drugače. Uporabijo se kovinski klini za pritrditev kokosove mreže dimenzije 20x10x20 cm.</t>
    </r>
  </si>
  <si>
    <r>
      <t xml:space="preserve">Sanacija poškodovanih in erodiranih brežin ob poti (v V delu parka) - čiščenje, po potrebi humuziranje in stabilizacija in zatravitev </t>
    </r>
    <r>
      <rPr>
        <b/>
        <sz val="10"/>
        <rFont val="Segoe Ul"/>
        <charset val="238"/>
      </rPr>
      <t>z vodno setvijo</t>
    </r>
    <r>
      <rPr>
        <sz val="10"/>
        <rFont val="Segoe Ul"/>
        <charset val="238"/>
      </rPr>
      <t>. Vrsta travne mešanice se prilagodi glede na lokacijo. Vsa dela okoli lesnatih rastlin se morajo izvesti v skladu z dodatnimi usmeritvami, podanimi na terenu s strani arbortista.</t>
    </r>
  </si>
  <si>
    <t>Ureditev in sanacija brežin</t>
  </si>
  <si>
    <t>Začetno zalivanje trate dva tedna, 2 x tedensko (v primeru jesenske setve); prevoz vode s cisterno.
* V uporabo (obremenitev) šele po minimalno 3 košnjah!</t>
  </si>
  <si>
    <r>
      <t xml:space="preserve">Priprava in setev po DIN 18917: nabava travne mešanice za </t>
    </r>
    <r>
      <rPr>
        <b/>
        <sz val="10"/>
        <rFont val="Segoe Ul"/>
        <charset val="238"/>
      </rPr>
      <t>utrjene zelenice</t>
    </r>
    <r>
      <rPr>
        <sz val="10"/>
        <rFont val="Segoe Ul"/>
        <charset val="238"/>
      </rPr>
      <t xml:space="preserve"> (trato na grušču), setev, posuvanje z gramoznim drobirjem 22/32 mm,  razgrinjanje, uvaljanje, gnojenje, zalivanje</t>
    </r>
  </si>
  <si>
    <t>Začetno zalivanje trate dva tedna, 2 x tedensko (v primeru jesenske setve); prevoz vode s cisterno.</t>
  </si>
  <si>
    <r>
      <t>Priprava in setev po DIN 18917: nabava travne mešanice za</t>
    </r>
    <r>
      <rPr>
        <b/>
        <sz val="10"/>
        <rFont val="Segoe Ul"/>
        <charset val="238"/>
      </rPr>
      <t xml:space="preserve"> pohodno trato</t>
    </r>
    <r>
      <rPr>
        <sz val="10"/>
        <rFont val="Segoe Ul"/>
        <charset val="238"/>
      </rPr>
      <t>, navoz zemlje do globine 10 cm (mešanica kvalitetne zemlje, mivke (kremenčevega peska) in šote), razgrinjanje, grobo in fino planiranje, setev, zagrabljanje, uvaljanje, zalivanje.</t>
    </r>
  </si>
  <si>
    <t>Trata</t>
  </si>
  <si>
    <t>Dodatek za izvedbo ročnega izkopa sadilne jame po DIN 18916
* Glede na zahteve arborista in posamezne težko dostopne lokacije novo sajene drevnine in trajnic se predvideva, da bo moralo biti cca 40% izkopov sadilnih jam oprevljenih ročno.</t>
  </si>
  <si>
    <t>Ročni izkop</t>
  </si>
  <si>
    <t>Gnojenje (popenjalke).</t>
  </si>
  <si>
    <t>Gnojenje (pokrovnice in trave).</t>
  </si>
  <si>
    <t>Zalivanje se izvaja po potrebi, kar pomeni, da je potrebno sprotno ocenjevanje razmer glede na vremenske razmere (popenjalke).</t>
  </si>
  <si>
    <t>Zalivanje se izvaja po potrebi, kar pomeni, da je potrebno sprotno ocenjevanje razmer glede na vremenske razmere (pokrovnice in trave).</t>
  </si>
  <si>
    <t xml:space="preserve">Odstranjevanje odmrlih, posušenih in odpadlih delov 1 x na leto </t>
  </si>
  <si>
    <t>Začetno vzdrževanje se izvaja do 1 dekade junija oz. do končnega prevzema objekta. Stroški začetnega vzdrževanja se priznajo glede na poročilo o opravljenem delu, saj je dolžina in količina opravljenega dela odvisna od termina izvedbe in vremenskih razmer. Ocena!</t>
  </si>
  <si>
    <t>Začetno vzdrževanje trajnic</t>
  </si>
  <si>
    <t xml:space="preserve">dobava, saditev, gnojilo, zastiranje, zalivanje, oskrba  </t>
  </si>
  <si>
    <t>zastirka - lubje v globini 3 cm</t>
  </si>
  <si>
    <t>priprava rastišča po DIN 18915 toč. 7.7.1 (mešanica kvalitetne zemlje, mivke (kremenčevega peska) in šote v globini 20 - 40 cm)</t>
  </si>
  <si>
    <t>izkop sadilnega jarka oz. sadilne jame ter sajenje po DIN 18916</t>
  </si>
  <si>
    <t>Tj / Tachelospermum jasminoides (zvezdasti jasmin), popenjalka, 175 - 200 cm dolgi poganjki</t>
  </si>
  <si>
    <t>VmA / Vinca minor 'Alba' (beli mali zimzelen), trajnica, sadika v vsebniku P 0,5</t>
  </si>
  <si>
    <t>Pt / Pachisandra terminalis (debelačka), trajnica, sadika v vsebniku P 1,0</t>
  </si>
  <si>
    <t>Oj / Ohiopogon japonicus (kačja brada), trajnica, sadika v vsebniku P 0,5</t>
  </si>
  <si>
    <t>Ms / Miscanthus sinensis (kitajski trstikovec), trajnica, sadika v vsebniku P 1,5</t>
  </si>
  <si>
    <t>Trajnice in popenjalke</t>
  </si>
  <si>
    <t xml:space="preserve">Gnojenje </t>
  </si>
  <si>
    <t xml:space="preserve">Zalivanje se izvaja po potrebi, kar pomeni, da je potrebno sprotno ocenjevanje razmer glede na vremenske razmere. </t>
  </si>
  <si>
    <t xml:space="preserve">Obrezovanje prosto rastočih grmovnic se izvede 2 x na leto </t>
  </si>
  <si>
    <t>Začetno vzdrževanje grmovnic</t>
  </si>
  <si>
    <t>Vt / Viburnum tinus 'Eve Price' (nepravi lovor), 160 - 180 cm, 10 poganjkov, sadika v kontejnerju, stožčasto strižena</t>
  </si>
  <si>
    <t>Pha / Phillyrea angustifolia (ozkolistna zelenika), 60 - 80 cm, 7 poganjkov, sadika v kontejnerju</t>
  </si>
  <si>
    <t>Pl / Prunus laurocerasus (lovorikovec), 125 - 150 cm, 7 poganjkov, sadika v kontejnerju</t>
  </si>
  <si>
    <t>HsB / Hydrangea serrata 'Bluebird' (hortenzija), 40 - 60 cm, 5 poganjkov, sadika v kontejnerju</t>
  </si>
  <si>
    <t>Hp / Hydrangea paniculata 'Little Lime' (hortenzija), 40 - 60 cm, 5 poganjkov, sadika v kontejnerju</t>
  </si>
  <si>
    <t>Hq / Hydrangea quercifolia 'Snowflake' (hrastolistna hortenzija), 40 - 60 cm, 5 poganjkov, sadika v kontejnerju</t>
  </si>
  <si>
    <t>Dg / Deutzia gracilis (nežna dojcija), 40 - 60 cm, 5 poganjkov, sadika v kontejnerju</t>
  </si>
  <si>
    <t>Cj / Camellia japonica 'Virginia Franco' (japonska kamelija), 120-150 cm, 7 poganjkov, sadika v kontejnerju</t>
  </si>
  <si>
    <t>Cf / Calycanthus floridus (dišečnik), 150-175 cm, 7 poganjkov, sadika v kontejnerju</t>
  </si>
  <si>
    <t>Ag / Abelia grandiflora (velecvetna abelija), 80-100 cm, 5 poganjkov, sadika v kontejnerju</t>
  </si>
  <si>
    <t>Grmovnice</t>
  </si>
  <si>
    <t xml:space="preserve">kom. </t>
  </si>
  <si>
    <t xml:space="preserve">Po potrebi odstranjevanje suhih ali poškodovanih vej </t>
  </si>
  <si>
    <t>kg.</t>
  </si>
  <si>
    <t>kom.</t>
  </si>
  <si>
    <t>Po potrebi odstranjevanje morebitnih poganjkov na deblu</t>
  </si>
  <si>
    <t>Po potrebi popravilo opore ali sidranje</t>
  </si>
  <si>
    <t>Zalivanje se izvaja po potrebi, kar pomeni, da je potrebno sprotno ocenjevanje razmer glede na vremenske razmere, ne v malih dozah, temveč v količinah, ki premočijo vso koreninsko grudo (50-100 lit/kom). Ko so razviti vsi listi in padavin ni,  je zadnji čas za začetek zalivanja. Zalivati je potrebno vsakih 10 do 14 dni. Če je v tem času padlo več kot 25 l/m² vode, zalivanje ni potrebno. Ob izraziti suši pa je potrebno novo sajeno drevje zalivati vsakih nekaj dni. Spomladi sajena drevesa je potrebno oskrbovati skoraj tako, kot da bi bila posajena v loncih, ker  do poletja še niso dobro ukoreninjena.</t>
  </si>
  <si>
    <t>Po potrebi oskrba drevesnega kolobarja.</t>
  </si>
  <si>
    <t>Potrebno je izvesti pregled stanja novo posajenega drevja.</t>
  </si>
  <si>
    <t>Gnojila se dodajajo pod kap drevesne krošnje, ter nekoliko izven kapi drevesne krošnje. Plitvo se vkopljejo ali pokrijejo s tanko plastjo komposta, lubja, šote ali podobnim materialom. Priporoča se uporaba gnojil s podaljšanim 5-8 mesečnim delovanjem (s poudarkom na N in K, npr. Plantcote Depot  8 M)  Na 3x presajeno  drevo se računa 100 g gnoljila/drevo na sezono.  Gnojilo je primernejše deponirati v luknje globine 20 cm, kot da se primeša substratu. Gnoji se pred začetkom brstenja.</t>
  </si>
  <si>
    <t>Začetno vzdrževanje</t>
  </si>
  <si>
    <t xml:space="preserve">dobava, saditev, gnojilo, izdelava zalivalne sklede, zastiranje, zalivanje, oskrba </t>
  </si>
  <si>
    <t>količki, impregnirani, premer 8 cm (3 na sadiko),povezava z impregniranimi  latami (polokroglicami), vezivo mora dovoljevati nihanje drevesa in slediti rasti v debelino</t>
  </si>
  <si>
    <t>izkop sadilne jame in sajenje po DIN 18916</t>
  </si>
  <si>
    <t xml:space="preserve">Wr / Washingtonia robusta (vašingtonija) soliter, višina debla 2,60-2,80 m, skupna višina 3,50-4 m, 4x presajena sadika s koreninsko balo v mreži </t>
  </si>
  <si>
    <t xml:space="preserve">Tf / Trachycarpus fortunei (visoka žumara) soliter, višina debla 2,60-2,80 m, skupna višina 3,50-4 m, 4x presajena sadika s koreninsko balo v mreži </t>
  </si>
  <si>
    <t xml:space="preserve">Td / Taxodium distichum (močvirski taksodij) soliter, višine 4-4,5 m, 4x presajena sadika s koreninsko balo v mreži </t>
  </si>
  <si>
    <t xml:space="preserve">Tb / Taxus baccata (tisa) soliter, višine 1-1,2 m, 3x presajena sadika s koreninsko balo v mreži </t>
  </si>
  <si>
    <t xml:space="preserve">Sg / Sequoiadendron giganteum (mamutovec) soliter, višine 2-2,5 m, 3x presajena sadika s koreninsko balo v mreži </t>
  </si>
  <si>
    <t xml:space="preserve">Qs / Quercus suber (hrast plutovec) soliter, 18-20 cm, 4x presajena sadika s koreninsko balo v mreži </t>
  </si>
  <si>
    <t xml:space="preserve">Qr / Quercus rubra (rdeči hrast) soliter, 20-25 cm, 4x presajena sadika s koreninsko balo v mreži </t>
  </si>
  <si>
    <t xml:space="preserve">Of / Osmanthus x fortunei (osmantus) soliter, višine 2-2,5 m, 3x presajena sadika s koreninsko balo v mreži </t>
  </si>
  <si>
    <t xml:space="preserve">Mm / Magnollia macrophhylla (velikolistna magnolija) soliter, 16-18 cm, 3x presajena sadika s koreninsko balo v mreži </t>
  </si>
  <si>
    <t xml:space="preserve">Ma / Melia azedarach (indijska lipovka), soliter, 18-20 cm, 4x presajena sadika s koreninsko balo v mreži </t>
  </si>
  <si>
    <t xml:space="preserve">Lt / Liriodensron tulipifera (tulipanovec), soliter, 18-20 cm, 4x presajena sadika s koreninsko balo v mreži </t>
  </si>
  <si>
    <t xml:space="preserve">Ll / Liguster lucidum (bleščeča kalina), drevoredna zasaditev, 18-20 cm, 4x presajena sadika s koreninsko balo v mreži </t>
  </si>
  <si>
    <t xml:space="preserve">Ll / Liguster lucidum (bleščeča kalina), drevoredna zasaditev, 14-16 cm, 3x presajena sadika s koreninsko balo v mreži </t>
  </si>
  <si>
    <t xml:space="preserve">Jm / Jacaranda mimosifolia (mimozolistni palisandrovec), soliter, 16-18 cm, 4x presajena sadika s koreninsko balo v mreži </t>
  </si>
  <si>
    <t xml:space="preserve">Cus / Cupressus sempervirens (vednozelena cipresa), soliter, višine 4-4,5 m, 4x presajena sadika s koreninsko balo v mreži </t>
  </si>
  <si>
    <t>Ct / Cupressus torulosa (nepalska cipresa), soliter, višine 4-4,5 m, 4x presajena sadika s koreninsko balo v mreži</t>
  </si>
  <si>
    <t xml:space="preserve">Cs / Cercis siliquastrum (navadni jadikovec), drevoredno drevo, 18-20 cm, 4x presajena sadika s koreninsko balo v mreži </t>
  </si>
  <si>
    <t xml:space="preserve">Cl / Chamaecxparis laesoniana (Lawsonova pacipresa) drevoredno drevo, višine 2,5-3 m, 3x presajena sadika s koreninsko balo v mreži </t>
  </si>
  <si>
    <t>Cel / Cedrus libani (libanonska cedra), soliter, višine 4,5-5 m, 4x presajena sadika s koreninsko balo v mreži</t>
  </si>
  <si>
    <t>Cd / Cedrus deodara (himalajska cedra), soliter, 4,5-5 m, 4x presajena sadika s koreninsko balo v mreži</t>
  </si>
  <si>
    <t>količki, impregnirani, premer 8 cm (3 na sadiko), povezava z impregniranimi  latami (polokroglicami), vezivo mora dovoljevati nihanje drevesa in slediti rasti v debelino</t>
  </si>
  <si>
    <t xml:space="preserve">Cc / Cinnamomum camphora (kafrovec), soliter, 20-25 cm, 4x presajena sadika s koreninsko balo v mreži </t>
  </si>
  <si>
    <t>Drevesa</t>
  </si>
  <si>
    <t>Vse odstranitve rastlin in vzdrževalna dela na drevesih in večjih lesnatih rastlinah ter palmah je potrebno izvajati v skladu z gradivi arborista svetovalca ter pogoji ZRSVN OE Nova Gorica (št: 5-II-652/2-O-20/DF) in ZVKDS OE Nova Gorica (35106-0437-2/2016-M/LK).</t>
  </si>
  <si>
    <t>Čiščenje podrasti ter mladik invazivnih in samosevnih vrst (pajesen, robinija, lovorikocev ipd.)  višine do 1-1,5 m. Izvede naj se odstranitev nadzemnih in čim več podzemnih delov vegetacije. Vključiti nalaganje in odvoz odpadnih delov na deponijo z upoštevanjem navodil za ravnanje z invazivnimi vrstami. Vsa dela se morajo izvesti v skladu z dodatnimi usmeritvami arborista svetovalca, podanimi na terenu.</t>
  </si>
  <si>
    <r>
      <rPr>
        <b/>
        <sz val="10"/>
        <rFont val="Segoe UI"/>
        <family val="2"/>
        <charset val="238"/>
      </rPr>
      <t>Odstranitev večjih parkovnih dreves vključno s panji</t>
    </r>
    <r>
      <rPr>
        <sz val="10"/>
        <rFont val="Segoe UI"/>
        <family val="2"/>
        <charset val="238"/>
      </rPr>
      <t xml:space="preserve">, skladno z načrtom KA in strokovnim mnenjem arborista svetovalca, ki mora biti ažururano glede na nastale spremembe in zadnje stanje na terenu (veljavnost izdelanega gradiva je eno leto od dneva izdelave). Tehnika dela se prilagodi situaciji (delo s tal, delo z uporabo dvižne ploščadi, delo z uporabo arborističnih vrvnih tehnik, kombinacija). Odstranitev vključuje podiranje drevesa, čim večje znižanje panja, odstranitev vsega lesnega materiala na dogovorjeno začasno lokacijo blizu glavne ceste, čiščenje lokacije. Odvoz manjšega lesnega materiala na bližnjo deponijo oziroma glede na dogovor. Morebiten odvoz/odkup večjega lesnega materiala, se opravi v skladu z usmeritvami lastnika. V primeru nastanka škode na sosednjih rastlinah ali talni podlagi je potrebno izvesti sanacijo, v skladu s podanimi smernicami pristojnih oseb.  </t>
    </r>
  </si>
  <si>
    <t>Izdelava odprtega jarka z vsemi potrebnimi deli, izdelava po vzoru obstoječega. Širina jarka cca 40cm.</t>
  </si>
  <si>
    <t>Dobava in vgradnja prodnikov velikost od 6cm do 10cm (mačje glave), za namen bankine ob poti. Širina bankine znaša 45cm. Prodniki se polagajo v plast betona debeline 10cm in zafugirajo s cementno malto.</t>
  </si>
  <si>
    <t>Dobava in vgradnja delno obdelanih kamnitih blokov postavljenih v vrsto, velikost kamnitih blokov cca 25cm, za namen robnega kamnitega pasu. Nov kamniti robni pas mora biti zgrajen iz avtohtonega kamna, identičnega originalu, po obliki, barvi in strukturi, ter površinski obdelavi. Kjer se odkrije obstoječi kamniti pas se le ta ohrani.</t>
  </si>
  <si>
    <t>3.4</t>
  </si>
  <si>
    <t>3.3</t>
  </si>
  <si>
    <t>3.2</t>
  </si>
  <si>
    <t>opomba: V primeru ugotovitve, da je originalna izvedba voziščne konstrukcije drugačna od predvidene v dokumentaciji, se dela izvedejo po originalni.</t>
  </si>
  <si>
    <t>Humuziranje brežin in zelenic s posejanjem travnega semena.</t>
  </si>
  <si>
    <t>Ureditev planuma temeljnih tal.</t>
  </si>
  <si>
    <t>Izkop slabo nosilne zemljine – 3. kategorije – strojno z nakladanjem in odvozom na ustrezno deponijo po izboru izvajalca, skupaj z razgrinjanjem in plačilom deponijske takse.</t>
  </si>
  <si>
    <t>Površinski izkop plodne zemlje (humusa) - strojno z nakladanjem oz. odrivom za humuziranje brežin.</t>
  </si>
  <si>
    <t>Čiščenje obstoječih ohranjenih elementov odvodnjavanja (jarki). Obstoječe jarke se na celotni dolžini očisti vsega materiala in sanira, ter utrdi se poškodovane dele. Nakladanje in odvoz odvečnega materiala na ustrezno deponijo po izboru izvajalca s plačilom deponijske takse.</t>
  </si>
  <si>
    <t>Čiščenje obstoječih ohranjenih elementov odvodnjavanja (prepusti, jaški) in jih po potrebi sanirati s cementno malto (jaški). Nakladanje in odvoz odvečnega materiala na ustrezno deponijo po izboru izvajalca s plačilom deponijske takse.</t>
  </si>
  <si>
    <t>Izvedba sondaže, z vsemi potrebnimi deli, na dostopni poti, z namenom ugotovitve originalne izvedbe elementov poti. Sondaža se izvede na določenih lokacijah na poti, kjer to določita predstavnika ZVKDS in ZRSVN.</t>
  </si>
  <si>
    <t>Odstranitev grmovja na gosto porasli površini - strojno. Nakladanje in odvoz na ustrezno deponijo po izboru izvajalca s plačilom deponijske takse.</t>
  </si>
  <si>
    <t>Postavitev in zavarovanje prečnih profilov.</t>
  </si>
  <si>
    <t>Zakoličba osi.</t>
  </si>
  <si>
    <t>Izdelava nevezane nosilne plasti enakomerno zrnatega drobljenca tamponski drobljenec 0/32mm v debelini 20cm. Tamponski material se mora pred uvaljanjem ustrezno navlažiti. Utrditev do predpisane vrednosti.</t>
  </si>
  <si>
    <t>Voziščne konstrukcije</t>
  </si>
  <si>
    <t>Izdelava nevezane nosilne plasti kamnitega nasipa  (posteljica) iz protizmrzlinskega materiala - GW 0/100 kamnit nasipni material, debelina 30cm. Utrditev do predpisane nosilnosti.</t>
  </si>
  <si>
    <t>Izdelava nasipa iz zrnate kamnine 3. kategorije z dobavo iz kamnoloma, vgrajevanje v plasteh do debeline 0,3m, s komprimiranjem do predpisane zgoščenosti.</t>
  </si>
  <si>
    <t>Izkop slabo nosilne zemljine – strojno z nakladanjem in odvozom na ustrezno deponijo po izboru izvajalca, skupaj z razgrinjanjem in plačilom deponijske takse.</t>
  </si>
  <si>
    <t>Površinski izkop plodne zemlje (humusa) - strojno z nakladanjem oz. odrivom za humuziranje brežin in zelenic.</t>
  </si>
  <si>
    <t>Odstranitev žičnate ograje do višine 2m, vključno z odvozom in s stroški deponiranjana na stalni deponiji.</t>
  </si>
  <si>
    <t>(-) Obračun se mora izvajati na osnovi dejansko opravljenih količin, katere z vpisom v gradbeni dnevnik potrdi odgovorni nadzornik.</t>
  </si>
  <si>
    <t>... sortiranje odpadkov na gradbišču (gradbiščni odpadki), stroški nakladanja, odvoza na registrirano stalno deponijo ter plačilo stroškov deponije in taks (če v postavki ni drugače določeno)</t>
  </si>
  <si>
    <t>... začasne in stalne deponije in pripadajoči transporti,</t>
  </si>
  <si>
    <t>... zavarovanja gradbišča,</t>
  </si>
  <si>
    <t>(-) V enotnih cenah morajo biti zajeti tudi naslednji stroški:</t>
  </si>
  <si>
    <t>(-) Za vse vgrajene materiale mora izvajalec del predložiti dokumentacijo (atesti, certifikati, meritve....).</t>
  </si>
  <si>
    <t>SPLOŠNO:</t>
  </si>
  <si>
    <t>(-) V popisu niso upoštevani odkupi zemljišč.</t>
  </si>
  <si>
    <t>POROČILO K POPISU DEL IN PROJEKTANTSKI OCENI VREDNOSTI</t>
  </si>
  <si>
    <t xml:space="preserve"> Skupaj ZEMELJSKA DELA - CESTIŠČE:</t>
  </si>
  <si>
    <t>m'</t>
  </si>
  <si>
    <t>Zalivanje stikov z bitumensko zalivno zmesjo, pasto ali bitumnskim lepilnim trakom</t>
  </si>
  <si>
    <t>06.11</t>
  </si>
  <si>
    <t>Dobava in vgraditev predfabriciranih robnikov iz cementnega betona s prerezom 15/25 cm.</t>
  </si>
  <si>
    <t>06.10</t>
  </si>
  <si>
    <r>
      <t>m</t>
    </r>
    <r>
      <rPr>
        <vertAlign val="superscript"/>
        <sz val="10"/>
        <rFont val="Arial CE"/>
        <charset val="238"/>
      </rPr>
      <t>2</t>
    </r>
  </si>
  <si>
    <t>Izdelava obrabno zaporne plasti bitumenskega betona AC 8surf B 70/100, A4 v deb. 4 cm.</t>
  </si>
  <si>
    <t>06.9</t>
  </si>
  <si>
    <t>Izdelava nosilne plasti bitumenskega drobljenca AC 16 base B 50/70 A4, v debelini 5 cm.</t>
  </si>
  <si>
    <t>06.8</t>
  </si>
  <si>
    <r>
      <t>m</t>
    </r>
    <r>
      <rPr>
        <vertAlign val="superscript"/>
        <sz val="10"/>
        <rFont val="Arial CE"/>
        <charset val="238"/>
      </rPr>
      <t>3</t>
    </r>
  </si>
  <si>
    <t>Izdelava nevezane nosilne plasti enakomerno zrnatega drobljenca GW 0/22 v debelini 20 cm.</t>
  </si>
  <si>
    <t>06.7</t>
  </si>
  <si>
    <t>Izdelava nevezane nosilne plasti kamnitega nasipa - kamnite grede iz protizmrzlinskega materiala GW 0/100 v debelini 30 cm.</t>
  </si>
  <si>
    <t>06.6</t>
  </si>
  <si>
    <t>Zaščita obstoječih komunalnih vodov.</t>
  </si>
  <si>
    <t>06.5</t>
  </si>
  <si>
    <t>Rušenje betonskih robnikov 15/25/100, nakladanje ruševin in odvoz gradbenih odpadkov na ustrezno deponijo po izboru izvajalca ter plačilo deponijske takse.</t>
  </si>
  <si>
    <t>06.4</t>
  </si>
  <si>
    <t>Odstranitev sloja obstoječega tampona, z nakladanjem, odvozom na ustrezno deponijo in plačilom deponijske takse. OP: izkop do globine 65 cm pod terenom.</t>
  </si>
  <si>
    <t>06.3</t>
  </si>
  <si>
    <t>Rušenje asfaltnih vozišč do debeline 12 cm.</t>
  </si>
  <si>
    <t>06.2</t>
  </si>
  <si>
    <t>Zarezovanje obrabne in nosilne plasti asfalta v debelini do 12 cm.</t>
  </si>
  <si>
    <t>06.1</t>
  </si>
  <si>
    <t>VOZIŠČNA KONSTRUKCIJA</t>
  </si>
  <si>
    <t xml:space="preserve"> 06.</t>
  </si>
  <si>
    <t xml:space="preserve"> Skupaj KRIŽANJA:</t>
  </si>
  <si>
    <t>plinovod</t>
  </si>
  <si>
    <t>tlačni vod</t>
  </si>
  <si>
    <t>sanitarni kanal</t>
  </si>
  <si>
    <t>meteorni kanal</t>
  </si>
  <si>
    <t>elektrika</t>
  </si>
  <si>
    <t>telekomunikacijski vod</t>
  </si>
  <si>
    <t>javna razsvetljava</t>
  </si>
  <si>
    <t>vodovod</t>
  </si>
  <si>
    <t>Križanje kanalizacijske cevi z:</t>
  </si>
  <si>
    <t>05.1</t>
  </si>
  <si>
    <t>KRIŽANJE Z OSTALIMI KOMUNALNIMI VODI</t>
  </si>
  <si>
    <t>05.</t>
  </si>
  <si>
    <t xml:space="preserve"> Skupaj KANALIZACIJSKA DELA:</t>
  </si>
  <si>
    <t>Pregled zgrajene kanalizacije s TV kamero.</t>
  </si>
  <si>
    <t>04.4</t>
  </si>
  <si>
    <t xml:space="preserve">Tlačni poizkus vodotesnosti položenih kanalizacijskih cevi, po navodilih proizvajalca in projektanta </t>
  </si>
  <si>
    <t>04.3</t>
  </si>
  <si>
    <t>Pregled in čiščenje kanala pred izvedbo tlačnega poizkusa.</t>
  </si>
  <si>
    <t>04.2</t>
  </si>
  <si>
    <t xml:space="preserve"> m1</t>
  </si>
  <si>
    <t>Dobava in montaža kanalizacijskih PVC cevi, DN 160 mm (SN8), kompletno z potrebnimi spojkami, fazonskimi kosi in gumi tesnili  (v ceni je zajeto tudi nadzor geomehanika ter prevoz in prenos kanalizacijskih cevi iz deponije do mesta vgraditve).</t>
  </si>
  <si>
    <t>04.1</t>
  </si>
  <si>
    <t>KANALIZACIJSKA DELA</t>
  </si>
  <si>
    <t xml:space="preserve"> 04.</t>
  </si>
  <si>
    <t xml:space="preserve"> Skupaj GRADBENA DELA:</t>
  </si>
  <si>
    <t xml:space="preserve"> kos</t>
  </si>
  <si>
    <t xml:space="preserve">Izdelava priklopa projektiranega internega sanitarnega priključka S1 na obstoječi javni kanal DN200 (1_S1_priklop_v_cev), z vsemi pomožnimi deli, materiali, fazonskimi kosi, ter prenosi. </t>
  </si>
  <si>
    <t>03.2</t>
  </si>
  <si>
    <t>03.1</t>
  </si>
  <si>
    <t>03.</t>
  </si>
  <si>
    <t xml:space="preserve"> Skupaj ZEMELJSKA DELA:</t>
  </si>
  <si>
    <t>02.10</t>
  </si>
  <si>
    <t>Črpanje vode iz gradbene jame v času gradnje.</t>
  </si>
  <si>
    <t>02.9</t>
  </si>
  <si>
    <t>Odvoz odvečnega materiala iz začasne gradbene deponije na stalno gradbeno deponijo. Vključeni stroški stalne deponije. (OP: Izkop v območju asfaltnih površin ceste in hodnika za pešce)</t>
  </si>
  <si>
    <t>02.8</t>
  </si>
  <si>
    <t>Zasip interne sanitarne kanalizacije z izkopanim materialom, ter komprimiranje v plasteh po 20cm.</t>
  </si>
  <si>
    <t>02.7</t>
  </si>
  <si>
    <t>Dobava peska frakcije 8-16 mm in izdelava nasipa nad položenimi cevmi 30 cm nad temenom. Na peščeno posteljico se izvede 3-5 cm debel nasip, v katerega si cev izdela ležišče. Obsip in nasip je potr ebno utrditi do 95 % trdnosti po standardnem Proktorjevem preiskusu.</t>
  </si>
  <si>
    <t>02.6</t>
  </si>
  <si>
    <t>Dobava peska frakcije 8-16 mm in izdelava temeljne plasti posteljice deb. 10 cm, s planiranjem in strojnim utrjevanjem do 95 % po standardnem Prokterjevem postopku. Natančnost izdelave posteljice je +/- 1 cm.                 Obračun za 1 m3.</t>
  </si>
  <si>
    <t>02.5</t>
  </si>
  <si>
    <t xml:space="preserve"> m2</t>
  </si>
  <si>
    <t>Ročno planiranje dna jarka s točnostjo +/- 3 cm po projektiranem padcu.Obračun za 1 m2.</t>
  </si>
  <si>
    <t>02.4</t>
  </si>
  <si>
    <t>Ročni izkop v lahki zemljini (II. In III. kategorije) globine do 2m za izdelavo priključkov in na prečkanju z drugimi komunalnimi vodi z odmetom izkopanega materiala 1m od roba izkopa.Upoštevamo 10% vsega izkopa)</t>
  </si>
  <si>
    <t>02.3</t>
  </si>
  <si>
    <t>02.2</t>
  </si>
  <si>
    <t>Površinski odkop peščene poti (makadam) povprečni debelini 20 cm, z odvozom na začasno gradbeno deponijo, ter ureditev le te v prvotno stanje.</t>
  </si>
  <si>
    <t>02.1</t>
  </si>
  <si>
    <t xml:space="preserve"> - prečkanje cestišča (65 cm)</t>
  </si>
  <si>
    <t xml:space="preserve"> - hodnik za pešce (60 cm)</t>
  </si>
  <si>
    <r>
      <t xml:space="preserve">Zasip od globine 60-65 cm pod terenenom do terena  je upoštevano v sklopu ureditve zgornjega ustroja ceste </t>
    </r>
    <r>
      <rPr>
        <sz val="10"/>
        <rFont val="Arial CE"/>
      </rPr>
      <t>(06. VOZIŠČNA KONSTRUKCIJA)</t>
    </r>
    <r>
      <rPr>
        <sz val="10"/>
        <rFont val="Arial CE"/>
        <family val="2"/>
        <charset val="238"/>
      </rPr>
      <t xml:space="preserve"> Upoštevani zasipni material je od globine 60-65 cm pod terenom.</t>
    </r>
  </si>
  <si>
    <r>
      <rPr>
        <b/>
        <sz val="10"/>
        <rFont val="Arial CE"/>
      </rPr>
      <t>OPOMBA</t>
    </r>
    <r>
      <rPr>
        <sz val="10"/>
        <rFont val="Arial CE"/>
        <family val="2"/>
        <charset val="238"/>
      </rPr>
      <t>:</t>
    </r>
  </si>
  <si>
    <t xml:space="preserve"> 02.</t>
  </si>
  <si>
    <t xml:space="preserve"> Skupaj PRIPRAVLJALNA DELA:</t>
  </si>
  <si>
    <t>Obračun po dejanskih stroških!</t>
  </si>
  <si>
    <t>Po končanih delih prometno signalizacijo odstraniti in prometni režim vzpostaviti v prvotno stanje.</t>
  </si>
  <si>
    <t xml:space="preserve">Pridobitev dovoljenja za cestno zaporo, z ureditvijo prometnega režima v času gradnje z obvestili, zavarovanje gradbene jame in gradbišča, ter postavitev prometne signalizacije. </t>
  </si>
  <si>
    <t>Nabava, dobava in postavitev gradbiščne table. Stroški postavitve in po konačnih delih odstranitve obvestilne table na gradbišču.</t>
  </si>
  <si>
    <t>Vzdrževanje vseh prekopanih javnih površin v času od rušitve asfalta do vzpostavitve v prvotno stanje.</t>
  </si>
  <si>
    <t xml:space="preserve"> - čiščenje po končanih delih</t>
  </si>
  <si>
    <t xml:space="preserve"> - priprava gradbišča</t>
  </si>
  <si>
    <t xml:space="preserve">Priprava gradbišča v dolžini L=13.51m, odstranitev eventuelnih ovir, prometnih znakov in utrditev delovnega platoja. Po končanih delih gradbišče pospraviti in vzpostaviti v prvotno stanje.                         </t>
  </si>
  <si>
    <t>01.7</t>
  </si>
  <si>
    <t>01.6</t>
  </si>
  <si>
    <t>Zakoličba obstoječih komunalnih vodov in oznaka križanj. 
Obračun po dejanskih stroških.</t>
  </si>
  <si>
    <t>01.5</t>
  </si>
  <si>
    <t>01.4</t>
  </si>
  <si>
    <t>01.3</t>
  </si>
  <si>
    <t>Postavitev gradbenih profilov na vzpostavljeno os trase cevovoda, ter določitev nivoja za merjenje globine izkopa in polaganje cevovoda.</t>
  </si>
  <si>
    <t>01.2</t>
  </si>
  <si>
    <t>Zakoličenje osi kanalizacije, z zavarovanjem osi, oznako revizijskih jaškov, vris v kataster in izdelava geodetskega posnetka.</t>
  </si>
  <si>
    <t>01.1</t>
  </si>
  <si>
    <t>03.4</t>
  </si>
  <si>
    <t>03.3</t>
  </si>
  <si>
    <t>Vgradnja kanalizacijske cevi pod vodotokom z vodenim uvrtavanjem zaščitne cevi JE DN 250. Cena vključuje prevoz in premik garniture. Obračun za 1 m1. Opomba: zaščitna cev se vgradi na kanalu S2 na mestu kjer prečka vodotok med jaškoma "RJ1_S2" in "RJ2_S2".</t>
  </si>
  <si>
    <t>02.15</t>
  </si>
  <si>
    <t>Izvedba gradbene jame za demontažo naprave za podvrtavanje v terenu III. kat., z razpiranjem, globine do 4 m. Obračun za 1 kos.</t>
  </si>
  <si>
    <t>02.14</t>
  </si>
  <si>
    <t>Izvedba gradbene jame za vnos naprave za podvrtavanje, v terenu III. kat., z razpiranjem, globine do 4 m. Obračun za 1 kos.</t>
  </si>
  <si>
    <t>02.13</t>
  </si>
  <si>
    <t>02.12</t>
  </si>
  <si>
    <t xml:space="preserve">Odvoz odvečnega materiala iz začasne gradbene deponije na stalno gradbeno deponijo. Vključeni stroški stalne deponije. </t>
  </si>
  <si>
    <t>02.11</t>
  </si>
  <si>
    <t>Zavarovanje gradbene jame z razpiranjem z  jeklenimi opaži -sistem z vodili (SBH, KRINGS ali podobno) . Globina jarka do 4,0m.  Vključno z vsemi pomožnimi materiali,  deli in transporti.</t>
  </si>
  <si>
    <r>
      <t xml:space="preserve">Vertikalni strojni izkop jarka pod kotom 90 stopinj, globine 2,00-4,00 m, v terenu III. kat. z nakladanjem na kamion in odvozom na začasno gradbeno deponijo. Upoštevano 100% vsega izkopa (2,00-4,00m). Obračun za 1 m3. </t>
    </r>
    <r>
      <rPr>
        <sz val="10"/>
        <rFont val="Arial CE"/>
        <charset val="238"/>
      </rPr>
      <t>Vključeni stroški stalne deponije.</t>
    </r>
  </si>
  <si>
    <t>Strojni izkop jarkov za hišne kanalizacijske priključke v terenu III. kategorije, širine do 1m, globine do 2,00m, naklon brižin 70° z odmetom izkopanega materiala 1m od roba izkopa. Upoštevamo 90% vsega izkopa)</t>
  </si>
  <si>
    <t>Površinski odkop humusa v povprečni debelini 20 cm, z odvozom na začasno gradbeno deponijo, ter ureditev le te v prvotno stanje.</t>
  </si>
  <si>
    <t xml:space="preserve"> - dovozna pot (42 cm)</t>
  </si>
  <si>
    <t>V območju dovozne poti se zasip, od globine 42 cm pod terenenom do terena, upoštevano v sklopu ureditve dovozne poti</t>
  </si>
  <si>
    <r>
      <rPr>
        <b/>
        <sz val="10"/>
        <rFont val="Arial CE"/>
        <family val="2"/>
        <charset val="238"/>
      </rPr>
      <t>OPOMBA</t>
    </r>
    <r>
      <rPr>
        <sz val="10"/>
        <rFont val="Arial CE"/>
        <family val="2"/>
        <charset val="238"/>
      </rPr>
      <t>:</t>
    </r>
  </si>
  <si>
    <t xml:space="preserve">Priprava gradbišča v dolžini L=32.22m, odstranitev eventuelnih ovir, prometnih znakov in utrditev delovnega platoja. Po končanih delih gradbišče pospraviti in vzpostaviti v prvotno stanje.                         </t>
  </si>
  <si>
    <t>Vgradnja kanalizacijske cevi pod vodotokom z vodenim uvrtavanjem zaščitne cevi JE DN 250. Cena vključuje prevoz in premik garniture. Obračun za 1 m1. Opomba: zaščitna cev se vgradi na kanalu S3 na mestu kjer prečka vodotok med jaškoma "RJ1_S3" in "PRJ2_S3".</t>
  </si>
  <si>
    <t>Dobava in montaža kanalizacijske cevi za tlačno kanalizacijo PE 100 cevi d63 mm (SIST EN 13244-2:2003), kompletno z potrebnimi spojkami, fazonskimi kosi (v ceni je zajeto tudi nadzor geomehanika ter prevoz in prenos kanalizacijskih cevi iz deponije do mesta vgraditve).</t>
  </si>
  <si>
    <t>Izdelava priklopa projektiranega kanala S4_tlačni_vod na projektirani kanal S1_prikljucek_Rafut v jašku "RJ1_S1", z vsemi pomožnimi deli, materiali, ter prenosi.</t>
  </si>
  <si>
    <r>
      <rPr>
        <b/>
        <sz val="10"/>
        <color indexed="8"/>
        <rFont val="Arial CE"/>
        <family val="2"/>
        <charset val="238"/>
      </rPr>
      <t>OPOMBA</t>
    </r>
    <r>
      <rPr>
        <sz val="10"/>
        <color indexed="8"/>
        <rFont val="Arial CE"/>
        <family val="2"/>
        <charset val="238"/>
      </rPr>
      <t>:</t>
    </r>
  </si>
  <si>
    <t xml:space="preserve">Priprava gradbišča v dolžini L=34.34.64m, odstranitev eventuelnih ovir, prometnih znakov in utrditev delovnega platoja. Po končanih delih gradbišče pospraviti in vzpostaviti v prvotno stanje.                         </t>
  </si>
  <si>
    <t xml:space="preserve">Priprava gradbišča v dolžini L=26.64m, odstranitev eventuelnih ovir, prometnih znakov in utrditev delovnega platoja. Po končanih delih gradbišče pospraviti in vzpostaviti v prvotno stanje.                         </t>
  </si>
  <si>
    <t>Vegetacija</t>
  </si>
  <si>
    <t>Vegetacija - odstranitve</t>
  </si>
  <si>
    <r>
      <t>m</t>
    </r>
    <r>
      <rPr>
        <vertAlign val="superscript"/>
        <sz val="10"/>
        <color indexed="8"/>
        <rFont val="Segoe UI"/>
        <family val="2"/>
        <charset val="238"/>
      </rPr>
      <t>1</t>
    </r>
  </si>
  <si>
    <r>
      <t>m</t>
    </r>
    <r>
      <rPr>
        <vertAlign val="superscript"/>
        <sz val="10"/>
        <color indexed="8"/>
        <rFont val="Segoe UI"/>
        <family val="2"/>
        <charset val="238"/>
      </rPr>
      <t>2</t>
    </r>
  </si>
  <si>
    <r>
      <t>m</t>
    </r>
    <r>
      <rPr>
        <vertAlign val="superscript"/>
        <sz val="10"/>
        <color indexed="8"/>
        <rFont val="Segoe UI"/>
        <family val="2"/>
        <charset val="238"/>
      </rPr>
      <t>3</t>
    </r>
  </si>
  <si>
    <r>
      <t>Dobava in vgradnja</t>
    </r>
    <r>
      <rPr>
        <sz val="10"/>
        <rFont val="Segoe UI"/>
        <family val="2"/>
        <charset val="238"/>
      </rPr>
      <t xml:space="preserve"> kovinskih dražnikov. Vgradnja je lahko ročna ali strojna in zajema naslednje: izkop jarka diagonalno na vozišče v katerega se vloži dražnik na način, da ima padec približno 4 – 8% proti zunanji strani vozišča, zgornji rob dražnika pa mora biti cca 3cm pod površino vozišča. Dražnik je treba sidrati v podlago. Po vgradnji se na mestu, kjer je bil skopan jarek, vozišče poravna.</t>
    </r>
  </si>
  <si>
    <t>POPIS DEL - Kanalizacija S1 (sanitarna kanalizacija)</t>
  </si>
  <si>
    <t>Kanalizacija - S1</t>
  </si>
  <si>
    <t>POPIS DEL - Kanalizacija S2 (Laščakova vila)</t>
  </si>
  <si>
    <t xml:space="preserve">01.      </t>
  </si>
  <si>
    <t>POPIS DEL - Kanalizacija S2.1 (Gradbišče)</t>
  </si>
  <si>
    <t>POPIS DEL - Interna kanalizacija S3 (vila Palm)</t>
  </si>
  <si>
    <t>POPIS DEL - Interna kanalizacija S4 (tlačni vod)</t>
  </si>
  <si>
    <t>POPIS DEL - Interna kanalizacija S5 (vhod)</t>
  </si>
  <si>
    <t>Kanalizacija - S5</t>
  </si>
  <si>
    <t>Kanalizacija - S4</t>
  </si>
  <si>
    <t>Kanalizacija - S3</t>
  </si>
  <si>
    <t>Kanalizacija - S2.1</t>
  </si>
  <si>
    <t xml:space="preserve">Kanalizacija - S2 </t>
  </si>
  <si>
    <t>(-) betonski temelji in podstavki igral in opreme so vključeni v posamezne postavke urbane opreme (komplet dobava in vgradnja)</t>
  </si>
  <si>
    <t>(-) Vsa igrala morajo biti oblikovno usklajena in enakega proizvajalca</t>
  </si>
  <si>
    <t>(-) Vsi igralni elementi in površine morajo ustrezati varnostnim standardom:
SIST EN 1176 (Oprema otroških igrišč) in
SIST EN 1177 (Ublažitev udarcev pri površinah otroških igrišč).
Vsa uporabljena igrala morajo imeti potreben Certifikat o skladnosti.
Proizvajalec mora zagotoviti garancijo za obstojnost materiala  in dostopnost rezervnih delov za obnovo.</t>
  </si>
  <si>
    <t>(-) Če ponudnik izbere igralo z enakimi lastnosti drugega proizvajalca, mora biti k ponudbi priložen tehnični list igrala z opisom in specifikacijami iz katerega je dobro razvidna kakovost in ostale lastnosti. Ustreznost igrala pred izborom izvajalca potrdi projektant.</t>
  </si>
  <si>
    <t>(-) Načrt ureditve gradbišča je izvajalec del dolžan predati v pisno potrditev arboristu</t>
  </si>
  <si>
    <t>... koordinacija med investitorjem, nadzornikom, upravljalci komunalnih vodov, izvajalci, podizvajalci in soglasodajalci</t>
  </si>
  <si>
    <t>... izvedba del po popisu iz postavke in načrta,</t>
  </si>
  <si>
    <t>... ves potreben osnovni in pomožni material z dobavo, vse podkonstrukcije, transporte in vgrajevanja,</t>
  </si>
  <si>
    <t>... ureditev gradbišča, zakoličba, postavitev gradbiščne table, zaščitna ograja in obvestila ter ostala pripravljalna dela, z vsemi deli in materialom ter dnevno čiščenje gradbišča,</t>
  </si>
  <si>
    <t>(-) Izvajalec del mora pri izvedbi upoštevati tehnično poročilo iz načrta</t>
  </si>
  <si>
    <t>(-) Dela je potrebno izvajati skladno s projektno dokumentacijo, v skladu z veljavnimi tehničnimi predpisi, normativi in standardi ob upoštevanju zahtev iz varstva pri delu. Uporabljati je potrebno samo materiale, ki ustrezajo predpisom in standardom.</t>
  </si>
  <si>
    <t>(-) Podane cene za enoto so povprečne cene v gradbeništvu s področja nizkih gradenj za leto 2020.</t>
  </si>
  <si>
    <t xml:space="preserve">… izvajalec se seznani z vsemi okoliščinami, stanjem na terenu in iz tega izhajajočimi možnostmi za dostop in transport, manipulacijo, omejitvami z vidika narave in kulturne dediščine itd… </t>
  </si>
  <si>
    <t>IGRALA IN OPREMA</t>
  </si>
  <si>
    <t>Informacijska infrastruktura</t>
  </si>
  <si>
    <t>Stabilizacija brežin</t>
  </si>
  <si>
    <t>analiza obstoječih betonov</t>
  </si>
  <si>
    <t>Dobava in vgradnja prodnikov velikost od 6cm do 10cm (mačje glave), za namen kamnite mulde ob poti in tlaka v pasaži vratarnice. Širina mulde znaša 45cm. Prodniki se polagajo v plast betona debeline 10cm in zafugirajo s cementno malto. Mulde se izvedejo po vzoru obstoječih, še ohranjenih.</t>
  </si>
  <si>
    <t>Zunanja ureditev okoli Laščakove vile</t>
  </si>
  <si>
    <t>Dobava, nabava in vgradnja tampona (na delo trava na grušču), granulacija 0/16mm EV&gt; 80 Mpa. Debelina 30cm</t>
  </si>
  <si>
    <t>Kompletno z izdelavo kalupa po detajlih projektanta.</t>
  </si>
  <si>
    <t>izdelava kompletnega vodovodnega jaška notranjih dim. 100x100x120cm, stene deb. 15cm, kompletno z dvojnim LTŽ pokrovom za obremenitbe B 125, opremljen z zasunom in izpustnim ventilom ter vodovodna cev pocinkana 1/2", skupne dolžine 200-300cm v pitnik</t>
  </si>
  <si>
    <t>Obračun po kompletno izdelanem pitniku.</t>
  </si>
  <si>
    <t>Pitnik</t>
  </si>
  <si>
    <t>Tlaki</t>
  </si>
  <si>
    <t>Ureditve</t>
  </si>
  <si>
    <t>Kanalizacija</t>
  </si>
  <si>
    <t>1,1</t>
  </si>
  <si>
    <t>Skupaj tuje storitve:</t>
  </si>
  <si>
    <t>Odstranitev, odvoz in deponiranje obstoječega gradbiščnega kontejnerja, skupaj z vsemi deli (odstranitev kontejnerja, kablov, temeljev in vsega ostalega drobnega materiala, skupaj z odvozom in deponiranjem na stalni deponiji</t>
  </si>
  <si>
    <t>Projektantski nadzor pooblaščenega arhitekta</t>
  </si>
  <si>
    <t>Projektantski nadzor pooblaščenega krajinskega arhitekta</t>
  </si>
  <si>
    <t>Projektantski nadzor pooblaščenega inženirja s področja elektrotehnike</t>
  </si>
  <si>
    <t>Projektantski nadzor pooblaščenega inženirja s področja gradbeništva (vodovod, kanalizacija, gradbeno tehnični del ureditve)</t>
  </si>
  <si>
    <t>Razna dela - KV delavec</t>
  </si>
  <si>
    <t>Razna dela - PKV delavec</t>
  </si>
  <si>
    <t>(-)Z izdelavo ponudbe se smatra, da si je ponudnik objekt ogledal in v ponudbi upošteval dejansko stanje.</t>
  </si>
  <si>
    <t>(-)Vgrajeni material mora ustrezati veljavnim normativom in standardom, ter ustrezati predpisani kvaliteti določeni s projektom, kar se dokaže z izvidi in atesti in morajo biti vračunani v cenah po enoti.</t>
  </si>
  <si>
    <t>Vzhodni del</t>
  </si>
  <si>
    <t>Zahodni del</t>
  </si>
  <si>
    <t>Uvoz</t>
  </si>
  <si>
    <t>POPIS DEL - Tlaki</t>
  </si>
  <si>
    <t>Skupaj vzhodni del:</t>
  </si>
  <si>
    <t>Skupaj zahodni del:</t>
  </si>
  <si>
    <t>2.1.1</t>
  </si>
  <si>
    <t>2.1.2</t>
  </si>
  <si>
    <t>2.1.3</t>
  </si>
  <si>
    <t>2.1.4</t>
  </si>
  <si>
    <t>2.1.5</t>
  </si>
  <si>
    <t>2.1.6</t>
  </si>
  <si>
    <t>2.1.7</t>
  </si>
  <si>
    <t>2.1.8</t>
  </si>
  <si>
    <t>2.1.9</t>
  </si>
  <si>
    <t>2.1.10</t>
  </si>
  <si>
    <t>2.1.11</t>
  </si>
  <si>
    <t>2.1.12</t>
  </si>
  <si>
    <t>2.1.13</t>
  </si>
  <si>
    <t>Zamejitev babmusa</t>
  </si>
  <si>
    <t>Pot proti Laščakovi vili</t>
  </si>
  <si>
    <t>Geotehnični nadzor</t>
  </si>
  <si>
    <t>2.2.1</t>
  </si>
  <si>
    <t>2.2.2</t>
  </si>
  <si>
    <t>2.2.3</t>
  </si>
  <si>
    <t>2.2.4</t>
  </si>
  <si>
    <t>2.2.9</t>
  </si>
  <si>
    <t>2.2.10</t>
  </si>
  <si>
    <t>2.2.11</t>
  </si>
  <si>
    <t>2.2.12</t>
  </si>
  <si>
    <t>2.2.13</t>
  </si>
  <si>
    <t>2.2.14</t>
  </si>
  <si>
    <t>2.2.15</t>
  </si>
  <si>
    <t>2.2.16</t>
  </si>
  <si>
    <t>2.2.17</t>
  </si>
  <si>
    <t>2.3.1</t>
  </si>
  <si>
    <t>2.3.2</t>
  </si>
  <si>
    <t>2.3.3</t>
  </si>
  <si>
    <t>2.3.4</t>
  </si>
  <si>
    <t>2.3.5</t>
  </si>
  <si>
    <t>2.3.6</t>
  </si>
  <si>
    <t>2.3.7</t>
  </si>
  <si>
    <t>2.3.8</t>
  </si>
  <si>
    <t>2.3.9</t>
  </si>
  <si>
    <t>2.3.10</t>
  </si>
  <si>
    <t>2.3.11</t>
  </si>
  <si>
    <t>2.3.12</t>
  </si>
  <si>
    <t>2.3.13</t>
  </si>
  <si>
    <t>2.3.14</t>
  </si>
  <si>
    <t>POPIS DEL - Ureditve</t>
  </si>
  <si>
    <t>3.1.1</t>
  </si>
  <si>
    <t>3.1.3</t>
  </si>
  <si>
    <t>3.1.4</t>
  </si>
  <si>
    <t>3.1.5</t>
  </si>
  <si>
    <t>3.1.6</t>
  </si>
  <si>
    <t>Geodetska dela</t>
  </si>
  <si>
    <t>3.1.10</t>
  </si>
  <si>
    <t>Skupaj vodni motiv :</t>
  </si>
  <si>
    <t>3.2.1</t>
  </si>
  <si>
    <t>3.2.3</t>
  </si>
  <si>
    <t>3.2.7</t>
  </si>
  <si>
    <t>3.2.10</t>
  </si>
  <si>
    <t>3.2.12</t>
  </si>
  <si>
    <t>3.2.13</t>
  </si>
  <si>
    <t>3.2.14</t>
  </si>
  <si>
    <t>3.2.16</t>
  </si>
  <si>
    <t>3.2.17</t>
  </si>
  <si>
    <t>3.2.20</t>
  </si>
  <si>
    <t>3.2.21</t>
  </si>
  <si>
    <t>3.2.22</t>
  </si>
  <si>
    <t>3.2.23</t>
  </si>
  <si>
    <t>3.2.24</t>
  </si>
  <si>
    <t>3.2.25</t>
  </si>
  <si>
    <t>3.3.1</t>
  </si>
  <si>
    <t>3.3.2</t>
  </si>
  <si>
    <t>3.3.3</t>
  </si>
  <si>
    <t>3.3.4</t>
  </si>
  <si>
    <t>3.3.5</t>
  </si>
  <si>
    <t>3.3.6</t>
  </si>
  <si>
    <t>3.3.7</t>
  </si>
  <si>
    <t>3.3.8</t>
  </si>
  <si>
    <t>3.3.9</t>
  </si>
  <si>
    <t>3.3.10</t>
  </si>
  <si>
    <t>3.3.11</t>
  </si>
  <si>
    <t>3.4.1</t>
  </si>
  <si>
    <t>3.4.2</t>
  </si>
  <si>
    <t>3.4.3</t>
  </si>
  <si>
    <t>3.4.4</t>
  </si>
  <si>
    <t>3.4.5</t>
  </si>
  <si>
    <t>3.4.7</t>
  </si>
  <si>
    <t>3.4.8</t>
  </si>
  <si>
    <t>3.4.9</t>
  </si>
  <si>
    <t>3.4.10</t>
  </si>
  <si>
    <t>3.4.11</t>
  </si>
  <si>
    <t>3.4.12</t>
  </si>
  <si>
    <t>3.4.13</t>
  </si>
  <si>
    <t>3.4.14</t>
  </si>
  <si>
    <t>Oprema</t>
  </si>
  <si>
    <t>POPIS DEL - Oprema</t>
  </si>
  <si>
    <t>4.1.1</t>
  </si>
  <si>
    <t>4.1.2</t>
  </si>
  <si>
    <t>4.1.3</t>
  </si>
  <si>
    <t>4.1.4</t>
  </si>
  <si>
    <t>4.1.5</t>
  </si>
  <si>
    <t>4.1.6</t>
  </si>
  <si>
    <t>4.1.7</t>
  </si>
  <si>
    <t>4.1.8</t>
  </si>
  <si>
    <t>4.1.9</t>
  </si>
  <si>
    <t>4.1.10</t>
  </si>
  <si>
    <t>4.1.12</t>
  </si>
  <si>
    <t>4.1.13</t>
  </si>
  <si>
    <t>4.1.14</t>
  </si>
  <si>
    <t>Sedeži, ležalne mreže</t>
  </si>
  <si>
    <t>4.2.1</t>
  </si>
  <si>
    <t>4.2.4</t>
  </si>
  <si>
    <t>4.2.5</t>
  </si>
  <si>
    <t>4.2.6</t>
  </si>
  <si>
    <t>4.2.7</t>
  </si>
  <si>
    <t>4.2.8</t>
  </si>
  <si>
    <t>4.2.9</t>
  </si>
  <si>
    <t>4.2.10</t>
  </si>
  <si>
    <t>4.2.11</t>
  </si>
  <si>
    <t>4.3.1</t>
  </si>
  <si>
    <t>4.3.2</t>
  </si>
  <si>
    <t>4.3.3</t>
  </si>
  <si>
    <t>Skupaj razgledišče:</t>
  </si>
  <si>
    <t>Skupaj pomol:</t>
  </si>
  <si>
    <t>3.5</t>
  </si>
  <si>
    <t>3.5.1</t>
  </si>
  <si>
    <t>3.5.2</t>
  </si>
  <si>
    <t>4.3.4</t>
  </si>
  <si>
    <r>
      <rPr>
        <b/>
        <sz val="10"/>
        <rFont val="Segoe UI"/>
        <family val="2"/>
        <charset val="238"/>
      </rPr>
      <t>Restavratorska dela kalupa kupole s klopema</t>
    </r>
    <r>
      <rPr>
        <sz val="10"/>
        <rFont val="Segoe UI"/>
        <family val="2"/>
        <charset val="238"/>
      </rPr>
      <t>: dokumentacija pred, med in po posegu, odstranjevanje oblog in sekundarnih oblog - peskanje s finimi mediji ali sodo bikarbona, zapolnjevanje stikov med elementi, sanacija razpok, lepljenje, nanos zaščitne plasti.</t>
    </r>
  </si>
  <si>
    <r>
      <rPr>
        <b/>
        <sz val="10"/>
        <rFont val="Segoe UI"/>
        <family val="2"/>
        <charset val="238"/>
      </rPr>
      <t>Restavratorska dela klopi na počivališču:</t>
    </r>
    <r>
      <rPr>
        <sz val="10"/>
        <rFont val="Segoe UI"/>
        <family val="2"/>
        <charset val="238"/>
      </rPr>
      <t xml:space="preserve"> betonska klop sestavljena iz dveh kapitelov in preklade (148/40/12cm): Dokumentacija pred, med in po posegu , čiščenje- odstranjevanje nečistoč s kombinacijo pranja z vodo s kontroliranim pritiskom, vodne pare, ter mikropeskanjem, kitanje in lokalna popravila poškodb</t>
    </r>
  </si>
  <si>
    <r>
      <rPr>
        <b/>
        <sz val="10"/>
        <rFont val="Segoe UI"/>
        <family val="2"/>
        <charset val="238"/>
      </rPr>
      <t xml:space="preserve">Restavratorska dela na koritih ob parkirišču: </t>
    </r>
    <r>
      <rPr>
        <sz val="10"/>
        <rFont val="Segoe UI"/>
        <family val="2"/>
        <charset val="238"/>
      </rPr>
      <t>dokumentacija pred, med in po posegu, čiščenje- odstranjevanje nečistoč s kombinacijo pranja z vodo s kontroliranim pritiskom, vodne pare, ter mikropeskanjem, kitanje in lokalna popravila poškodb</t>
    </r>
  </si>
  <si>
    <r>
      <rPr>
        <b/>
        <sz val="10"/>
        <rFont val="Segoe UI"/>
        <family val="2"/>
        <charset val="238"/>
      </rPr>
      <t>Restavratorska dela na kapitelu</t>
    </r>
    <r>
      <rPr>
        <sz val="10"/>
        <rFont val="Segoe UI"/>
        <family val="2"/>
        <charset val="238"/>
      </rPr>
      <t>: dokumentacija pred, med in po posegu, odstranjevanje oblog in sekundarnih oblog - peskanje s finimi mediji ali sodo bikarbona, zapolnjevanje stikov med elementi, sanacija razpok, lepljenje, nanos zaščitne plasti.</t>
    </r>
  </si>
  <si>
    <r>
      <rPr>
        <b/>
        <sz val="10"/>
        <rFont val="Segoe UI"/>
        <family val="2"/>
        <charset val="238"/>
      </rPr>
      <t>Sanacija gredic za vilo</t>
    </r>
    <r>
      <rPr>
        <sz val="10"/>
        <rFont val="Segoe UI"/>
        <family val="2"/>
        <charset val="238"/>
      </rPr>
      <t xml:space="preserve"> z delnim odkopom, odstranitvijo mahu, listja in dopolnitvijo manjkajočih kamnov. Kamne je potrebno očistiti in nazaj zakliniti, gredice pa planirati in utrditi. Površina 75m2, kamenje 97m1</t>
    </r>
  </si>
  <si>
    <r>
      <rPr>
        <b/>
        <sz val="10"/>
        <rFont val="Segoe UI"/>
        <family val="2"/>
        <charset val="238"/>
      </rPr>
      <t>Vzidani arhitekturni elementi v podpornem zidu</t>
    </r>
    <r>
      <rPr>
        <sz val="10"/>
        <rFont val="Segoe UI"/>
        <family val="2"/>
        <charset val="238"/>
      </rPr>
      <t>: dokumentacija pred, med in po posegu, čiščenje- odstranjevanje nečistoč s kombinacijo pranja z vodo s kontroliranim pritiskom, vodne pare, ter mikropeskanjem, kitanje in lokalna popravila poškodb.</t>
    </r>
  </si>
  <si>
    <r>
      <rPr>
        <b/>
        <sz val="10"/>
        <rFont val="Segoe UI"/>
        <family val="2"/>
        <charset val="238"/>
      </rPr>
      <t>Sanacija betonskega stopnišča</t>
    </r>
    <r>
      <rPr>
        <sz val="10"/>
        <rFont val="Segoe UI"/>
        <family val="2"/>
        <charset val="238"/>
      </rPr>
      <t xml:space="preserve"> s čiščenjem, dobetoniranjem, zaribavanjem, kitanjem in lokalnimi popravili poškodovanih delov stopnic</t>
    </r>
  </si>
  <si>
    <r>
      <rPr>
        <b/>
        <sz val="10"/>
        <rFont val="Segoe UI"/>
        <family val="2"/>
        <charset val="238"/>
      </rPr>
      <t>Obnova položnega stopnišča</t>
    </r>
    <r>
      <rPr>
        <sz val="10"/>
        <rFont val="Segoe UI"/>
        <family val="2"/>
        <charset val="238"/>
      </rPr>
      <t xml:space="preserve"> - ročno - 138 stopnic: izkop materiala stopnih ploskev in ob stranicah - 15cm; čiščenje nečistoč; sanacija poškodovanih čel in stranic; izdelava in namestitev novih čel in stranic kot obstoječe (izdelava prefabrikatov po recepturi na podlagi analize obstoječih betonov); sanacija in utrditev obstoječega drobljenca</t>
    </r>
  </si>
  <si>
    <t>čiščenje površine</t>
  </si>
  <si>
    <t>čiščenje kamnov z dobavo manjkajočih (30%)</t>
  </si>
  <si>
    <t>Restavratorksa dela</t>
  </si>
  <si>
    <t>5.1.1</t>
  </si>
  <si>
    <t>5.1.2</t>
  </si>
  <si>
    <t>5.1.3</t>
  </si>
  <si>
    <t>5.1.4</t>
  </si>
  <si>
    <t>5.1.5</t>
  </si>
  <si>
    <t>5.1.6</t>
  </si>
  <si>
    <t>5.1.7</t>
  </si>
  <si>
    <t>5.1.8</t>
  </si>
  <si>
    <t>5.1.9</t>
  </si>
  <si>
    <t>5.1.10</t>
  </si>
  <si>
    <t>Skupaj restavratorksa dela:</t>
  </si>
  <si>
    <t>6.2</t>
  </si>
  <si>
    <t>6.3</t>
  </si>
  <si>
    <t>POPIS DEL - Restavratorska dela</t>
  </si>
  <si>
    <t>POPIS DEL - Vegetacija - odstranitve</t>
  </si>
  <si>
    <t>6.1.1</t>
  </si>
  <si>
    <t>6.1.2</t>
  </si>
  <si>
    <t>6.1.3</t>
  </si>
  <si>
    <t>6.1.4</t>
  </si>
  <si>
    <t>6.1.5</t>
  </si>
  <si>
    <t>6.1.6</t>
  </si>
  <si>
    <t>6.1.7</t>
  </si>
  <si>
    <t>6.1.8</t>
  </si>
  <si>
    <t>1.2.9</t>
  </si>
  <si>
    <t>Skupaj vegetacija - odstranitve :</t>
  </si>
  <si>
    <t xml:space="preserve">Splošno za obžagovanje dreves: »Negovalec dreves« mora ob ustrezni uporabi za delo primernih delovnih pripomočkov in tehnik dela (delo s tal, delo z uporabo dvižne ploščadi, delo z uporabo vrvnih tehnik ali kombinacije tehnik dela) znati izvajati ustrezne tehnike obrezovanja dreves ter izvajati ustrezne rezi (npr. upoštevanje vejnega ovratnika, zmanjševanje teže vej pred zaključno rezjo; ne sme se zalomiti skorja pri odstranjevanju vej, v les debla se naj ne posega s preveč ravnimi rezi t.i. gozdarsko krojenje lesa, itn.). V primeru, da obžagovanje dreves izvaja »gozdar sekač« mora pridobiti dodatna znanja za izvajanje ustreznih rezi in tehnik obrezovanja za urbana / parkovna drevesa. </t>
  </si>
  <si>
    <t>6.2.1</t>
  </si>
  <si>
    <t>6.2.2</t>
  </si>
  <si>
    <t>6.2.3</t>
  </si>
  <si>
    <t>6.2.4</t>
  </si>
  <si>
    <t>6.2.5</t>
  </si>
  <si>
    <t>6.2.6</t>
  </si>
  <si>
    <t>6.2.7</t>
  </si>
  <si>
    <t>6.2.8</t>
  </si>
  <si>
    <t>6.2.9</t>
  </si>
  <si>
    <t>6.2.10</t>
  </si>
  <si>
    <t>6.2.11</t>
  </si>
  <si>
    <t>Vegetacija - zasaditve</t>
  </si>
  <si>
    <t>POPIS DEL - Vegetacija - zasaditve</t>
  </si>
  <si>
    <t>6.3.1</t>
  </si>
  <si>
    <t>6.3.3</t>
  </si>
  <si>
    <t>6.3.2</t>
  </si>
  <si>
    <t>6.3.7</t>
  </si>
  <si>
    <t>6.3.4</t>
  </si>
  <si>
    <t>6.3.5</t>
  </si>
  <si>
    <t>6.3.6</t>
  </si>
  <si>
    <t>6.3.8</t>
  </si>
  <si>
    <t>6.3.9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</si>
  <si>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</si>
  <si>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</si>
  <si>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</si>
  <si>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</si>
  <si>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</si>
  <si>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</si>
  <si>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</si>
  <si>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</si>
  <si>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</si>
  <si>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</si>
  <si>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</si>
  <si>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</si>
  <si>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</si>
  <si>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</si>
  <si>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</si>
  <si>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</si>
  <si>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</si>
  <si>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</si>
  <si>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</si>
  <si>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</si>
  <si>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</si>
  <si>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</si>
  <si>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</si>
  <si>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</si>
  <si>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</si>
  <si>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</si>
  <si>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</si>
  <si>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</si>
  <si>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</si>
  <si>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</si>
  <si>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</si>
  <si>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</si>
  <si>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</si>
  <si>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</si>
  <si>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</si>
  <si>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</si>
  <si>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</si>
  <si>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</si>
  <si>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</si>
  <si>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</si>
  <si>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</si>
  <si>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</si>
  <si>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</si>
  <si>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</si>
  <si>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</si>
  <si>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</si>
  <si>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</si>
  <si>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</si>
  <si>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</si>
  <si>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</si>
  <si>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</si>
  <si>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</si>
  <si>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</si>
  <si>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</si>
  <si>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</si>
  <si>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</si>
  <si>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</si>
  <si>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</si>
  <si>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</si>
  <si>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</si>
  <si>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</si>
  <si>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</si>
  <si>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</si>
  <si>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</si>
  <si>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</si>
  <si>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</si>
  <si>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</si>
  <si>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</si>
  <si>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</si>
  <si>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</si>
  <si>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</si>
  <si>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</si>
  <si>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</si>
  <si>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</si>
  <si>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</si>
  <si>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</si>
  <si>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</si>
  <si>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</si>
  <si>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</si>
  <si>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</si>
  <si>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</si>
  <si>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</si>
  <si>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</si>
  <si>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</si>
  <si>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</si>
  <si>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</si>
  <si>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</si>
  <si>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</si>
  <si>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</si>
  <si>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</si>
  <si>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6.3.100</t>
  </si>
  <si>
    <t>6.3.101</t>
  </si>
  <si>
    <t>6.3.102</t>
  </si>
  <si>
    <t>6.3.103</t>
  </si>
  <si>
    <t>6.3.104</t>
  </si>
  <si>
    <t>6.3.105</t>
  </si>
  <si>
    <t>6.3.106</t>
  </si>
  <si>
    <t>6.3.107</t>
  </si>
  <si>
    <t>6.3.108</t>
  </si>
  <si>
    <t>6.3.109</t>
  </si>
  <si>
    <t>6.3.110</t>
  </si>
  <si>
    <t>6.3.111</t>
  </si>
  <si>
    <t>6.3.112</t>
  </si>
  <si>
    <t>6.3.113</t>
  </si>
  <si>
    <t>6.3.114</t>
  </si>
  <si>
    <t>6.3.115</t>
  </si>
  <si>
    <t>6.3.116</t>
  </si>
  <si>
    <t>6.3.117</t>
  </si>
  <si>
    <t>6.3.118</t>
  </si>
  <si>
    <t>6.3.119</t>
  </si>
  <si>
    <t>6.3.120</t>
  </si>
  <si>
    <t>6.3.121</t>
  </si>
  <si>
    <t>6.3.122</t>
  </si>
  <si>
    <t>6.3.123</t>
  </si>
  <si>
    <t>6.3.124</t>
  </si>
  <si>
    <t>6.3.125</t>
  </si>
  <si>
    <t>6.3.126</t>
  </si>
  <si>
    <t>6.3.127</t>
  </si>
  <si>
    <t>6.3.128</t>
  </si>
  <si>
    <t>6.3.154</t>
  </si>
  <si>
    <t>6.3.155</t>
  </si>
  <si>
    <t>6.3.156</t>
  </si>
  <si>
    <t>6.3.157</t>
  </si>
  <si>
    <t>6.3.158</t>
  </si>
  <si>
    <t>6.3.159</t>
  </si>
  <si>
    <t>6.3.160</t>
  </si>
  <si>
    <t>6.3.161</t>
  </si>
  <si>
    <t>6.3.162</t>
  </si>
  <si>
    <t>6.3.163</t>
  </si>
  <si>
    <t>6.3.164</t>
  </si>
  <si>
    <t>6.3.165</t>
  </si>
  <si>
    <t>6.3.166</t>
  </si>
  <si>
    <t>6.3.167</t>
  </si>
  <si>
    <t>6.3.168</t>
  </si>
  <si>
    <t>6.3.169</t>
  </si>
  <si>
    <t>6.3.170</t>
  </si>
  <si>
    <t>6.3.171</t>
  </si>
  <si>
    <t>6.3.172</t>
  </si>
  <si>
    <t>6.3.173</t>
  </si>
  <si>
    <t>6.3.174</t>
  </si>
  <si>
    <t>6.3.175</t>
  </si>
  <si>
    <t>6.3.176</t>
  </si>
  <si>
    <t>6.3.177</t>
  </si>
  <si>
    <t>6.3.178</t>
  </si>
  <si>
    <t>6.3.179</t>
  </si>
  <si>
    <t>6.3.180</t>
  </si>
  <si>
    <t>6.3.181</t>
  </si>
  <si>
    <t>6.3.182</t>
  </si>
  <si>
    <t>6.3.183</t>
  </si>
  <si>
    <t>6.3.184</t>
  </si>
  <si>
    <t>6.3.185</t>
  </si>
  <si>
    <t>6.3.186</t>
  </si>
  <si>
    <t>6.3.187</t>
  </si>
  <si>
    <t>6.3.188</t>
  </si>
  <si>
    <t>6.3.189</t>
  </si>
  <si>
    <t>6.3.190</t>
  </si>
  <si>
    <t>6.3.191</t>
  </si>
  <si>
    <t>6.3.192</t>
  </si>
  <si>
    <t>6.3.193</t>
  </si>
  <si>
    <t>6.3.194</t>
  </si>
  <si>
    <t>6.3.195</t>
  </si>
  <si>
    <t>6.3.196</t>
  </si>
  <si>
    <t>6.3.197</t>
  </si>
  <si>
    <t>6.3.198</t>
  </si>
  <si>
    <t>6.3.199</t>
  </si>
  <si>
    <t>6.3.200</t>
  </si>
  <si>
    <t>6.3.201</t>
  </si>
  <si>
    <t>6.3.205</t>
  </si>
  <si>
    <t>6.3.206</t>
  </si>
  <si>
    <t>6.3.207</t>
  </si>
  <si>
    <t>6.3.208</t>
  </si>
  <si>
    <t>6.3.209</t>
  </si>
  <si>
    <t>6.3.210</t>
  </si>
  <si>
    <t>6.3.211</t>
  </si>
  <si>
    <t>6.3.212</t>
  </si>
  <si>
    <t>6.3.213</t>
  </si>
  <si>
    <t>6.3.214</t>
  </si>
  <si>
    <t>6.3.215</t>
  </si>
  <si>
    <t>6.3.216</t>
  </si>
  <si>
    <t>6.3.217</t>
  </si>
  <si>
    <t>6.3.218</t>
  </si>
  <si>
    <t>6.3.219</t>
  </si>
  <si>
    <t>6.3.220</t>
  </si>
  <si>
    <t>6.3.221</t>
  </si>
  <si>
    <t>6.3.222</t>
  </si>
  <si>
    <t>6.3.223</t>
  </si>
  <si>
    <t>6.3.224</t>
  </si>
  <si>
    <t>Skupaj vegetacija - zasaditev:</t>
  </si>
  <si>
    <t>Vegetacija - zasaditev</t>
  </si>
  <si>
    <t>6.3.225</t>
  </si>
  <si>
    <t>6.3.226</t>
  </si>
  <si>
    <t>6.3.227</t>
  </si>
  <si>
    <t>6.3.228</t>
  </si>
  <si>
    <t>6.3.229</t>
  </si>
  <si>
    <t>6.3.230</t>
  </si>
  <si>
    <t>6.3.231</t>
  </si>
  <si>
    <r>
      <rPr>
        <b/>
        <sz val="10"/>
        <rFont val="Segoe UI"/>
        <family val="2"/>
        <charset val="238"/>
      </rPr>
      <t>Pohodna trata</t>
    </r>
    <r>
      <rPr>
        <sz val="10"/>
        <rFont val="Segoe UI"/>
        <family val="2"/>
        <charset val="238"/>
      </rPr>
      <t xml:space="preserve"> (izbor travne mešanice prilagojen mikrolokaciji - sončne/senčne lege)</t>
    </r>
  </si>
  <si>
    <r>
      <rPr>
        <b/>
        <sz val="10"/>
        <rFont val="Segoe UI"/>
        <family val="2"/>
        <charset val="238"/>
      </rPr>
      <t>Utrjena trata</t>
    </r>
    <r>
      <rPr>
        <sz val="10"/>
        <rFont val="Segoe UI"/>
        <family val="2"/>
        <charset val="238"/>
      </rPr>
      <t xml:space="preserve"> - trata na grušču (travna mešanica: 30% Lolium perenne, 30% Poa pratensis, 20% Festuca nigrescens, 20% Festuca rubra trychophylla)</t>
    </r>
  </si>
  <si>
    <t>6.3.237</t>
  </si>
  <si>
    <t>6.3.238</t>
  </si>
  <si>
    <t>6.3.239</t>
  </si>
  <si>
    <t>6.3.240</t>
  </si>
  <si>
    <t>6.3.241</t>
  </si>
  <si>
    <t>6.3.242</t>
  </si>
  <si>
    <t>7.1</t>
  </si>
  <si>
    <t>7.2</t>
  </si>
  <si>
    <t>7.3</t>
  </si>
  <si>
    <t>7.4</t>
  </si>
  <si>
    <t>7.5</t>
  </si>
  <si>
    <t>7.6</t>
  </si>
  <si>
    <t>8.1</t>
  </si>
  <si>
    <t>8.2</t>
  </si>
  <si>
    <t>9.1</t>
  </si>
  <si>
    <t>9.2</t>
  </si>
  <si>
    <t>9.3</t>
  </si>
  <si>
    <t>(-)Pred izvedbo vzdrževalnih del je potrebno pripraviti vzorce (betonov, ometov, muld, tlakov..), izdelati delavniške izrise (klopi, kovinsldh elementov, ograj, tabel...) in izvesti preizkusne metode čiščenja (betonskih elementov), ki jih bo pregledal oz. preveril in potrdil konservator/restavrator ZVKDS v času uvedbe v delo.</t>
  </si>
  <si>
    <r>
      <rPr>
        <b/>
        <sz val="10"/>
        <rFont val="Segoe UI"/>
        <family val="2"/>
        <charset val="238"/>
      </rPr>
      <t>Sanacija opornih zidiv</t>
    </r>
    <r>
      <rPr>
        <sz val="10"/>
        <rFont val="Segoe UI"/>
        <family val="2"/>
        <charset val="238"/>
      </rPr>
      <t>: dokumentacija pred, med in po posegu, čiščenje- odstranjevanje nečistoč s kombinacijo pranja z vodo s kontroliranim pritiskom, vodne pare, ter mikropeskanjem, kitanje in lokalna popravila poškodb Porušeni deli podpornih zidov in nestabilni deli zidov se rekonstruirajo. Med rekonstrukcijo se morebitni vgrajeni elementi začasno odstranijo , sanirajo in ponovno vgradijo v nov del opornega zidu, ki je identičen originalu po obliki, obdelavi barvi in strukturi.</t>
    </r>
  </si>
  <si>
    <t>Odstranitev obstoječega humusa in tampona iz obstoječe poti v debelini cca 30cm, nakladanje in odvoz na ustrezno deponijo po izboru izvajalca s plačilom deponijske takse. Na območjih vredne drevnine se zaradi prisotnosti korenin izkope izvaja posebej previdno in odstranjuje se le zgornje ustroje poti.</t>
  </si>
  <si>
    <t>Dobava in vgradnja kovinskega robnika za ločevanje peščene poti od trave, iz visoko kakovostne pocinkane kovine, dimenzij 200 x 10cm.</t>
  </si>
  <si>
    <t>Posek in odstranitev drevesa z deblom premera med 11 in 30cm ter odstranitev vej in panja. Nakladanje in odvoz na ustrezno deponijo po izboru izvajalca s plačilom deponijske takse.</t>
  </si>
  <si>
    <t>Koš za odpadke</t>
  </si>
  <si>
    <t>4.2.12</t>
  </si>
  <si>
    <t>Kovinski valjast koš za odpadke s pokrovom in sistemom za praznenje na zaklepanje. Tip koša in barvo potrdi projektant.</t>
  </si>
  <si>
    <t>Zakoličba ureditve pred pričetkom del (vse potrebne osi, profili oziroma točke)</t>
  </si>
  <si>
    <t>7.7</t>
  </si>
  <si>
    <t>Kanalizacija - M3</t>
  </si>
  <si>
    <t>POPIS DEL - Interna kanalizacija M3 - interni kanal pri vili Palm</t>
  </si>
  <si>
    <t>Dobava in montaža kanalizacijskih PVC cevi, DN 150-200mm (SN8), skupaj z vsemi potrebnimi fazonskimi kosi, kompletno z gumi tesnili za priklop na meteorni kanal (M1, M2, M3) ter vsemi potrebnimi zemeljskimi, gradbenimi, montažnimi deli, ter transporti. Vezna kanalizacija se obbetonira s pustim betonom (C16/20) -int. kanal M3 (PVC 200)</t>
  </si>
  <si>
    <t>Izdelava in vgradnja betonskega jaška s peskolovom, DN 600mm na internem met. kanalu PVC DN 150-200 mm za priklop meteorne vode z žlebov. Globine do 1,5 m, kompletno z pohodnim pokrovom ali rešetko -int. kanal M3 (PVC 200), rešetka</t>
  </si>
  <si>
    <t>Izdelava izpustne glave v naklonu brežine (obloga s kamnom v betonu C 20/25), DN 200 mm z vsemi potrebnimi deli in materiali. Na izpustu kanala v jarek se vgradi zaporna loputa (žabji poklopec DN 200 mm), ki preprečuje vstop živalim -int. kanal M3 (PVC 200)</t>
  </si>
  <si>
    <t>Izdelava skupne PID dokumentacije za vsa dela v popisu v 6. izvodih</t>
  </si>
  <si>
    <t>6.2.12</t>
  </si>
  <si>
    <t>6.3.0</t>
  </si>
  <si>
    <t>Zakoličba novo sajene vegetacije</t>
  </si>
  <si>
    <t>2.2.8</t>
  </si>
  <si>
    <t>Postavitev zaščitne gradbiščne ograje okoli zaščitenih dreves - lokacijo potrdi arborist. Zaščitna ograja oranžne barve, višina minimalno 1,5m. Postavka vključuje dobavo, postavitev, vzdrževanje (za čas gradnje) in odstranitev, skupaj s potrebnimi oporami in pritrditvami.</t>
  </si>
  <si>
    <t xml:space="preserve">Jc / Juniperus communis 'Skyrocket' (navadni brin 'Skyrocket'), soliter, višine 3-3,5 cm, 4x presajena sadika s koreninsko balo v mreži </t>
  </si>
  <si>
    <t xml:space="preserve">Kp / Koelreuteria paniculata (latnati mehurnik), soliter,16-18 cm, 4x presajena sadika s koreninsko balo v mreži </t>
  </si>
  <si>
    <t xml:space="preserve">Qi / Quercus ilex (črnika) drevoredno drevo, 16-18 cm, 3x presajena sadika s koreninsko balo v mreži </t>
  </si>
  <si>
    <t>(-) V rekapitulaciji projektantske ocene vrednosti je upoštevano povečanje vrednosti za 10 % zaradi nepredvidenih del.</t>
  </si>
  <si>
    <t>(-) V rekapitulaciji projektantske ocene vrednosti je zajet davek na dodano vrednost (DDV) v višini 22 %.</t>
  </si>
  <si>
    <t xml:space="preserve">(-) Nabava z nakupom, transport do mesta vgraditve in montaža s postavitvijo visoko kvalitetne urbane tipske opreme. Urbana oprema, ki je primerna za zunanje mestne ureditve in javne parke. </t>
  </si>
  <si>
    <t>Povezovalna pot</t>
  </si>
  <si>
    <t>Stopnice Palm</t>
  </si>
  <si>
    <t>5.1.11</t>
  </si>
  <si>
    <r>
      <rPr>
        <b/>
        <sz val="10"/>
        <rFont val="Segoe UI"/>
        <family val="2"/>
        <charset val="238"/>
      </rPr>
      <t xml:space="preserve">Sanacija betonskih kaskad za meteorno odvodnjavanje </t>
    </r>
    <r>
      <rPr>
        <sz val="10"/>
        <rFont val="Segoe UI"/>
        <family val="2"/>
        <charset val="238"/>
      </rPr>
      <t>- ročno - čiščenje nečistoč; sanacija poškodovanih kosov, izdelava in namestitev novih kosov kot obstoječe (izdelava po recepturi)</t>
    </r>
  </si>
  <si>
    <t>1.2.10</t>
  </si>
  <si>
    <t>1.1.7</t>
  </si>
  <si>
    <t>Dobava, nabava in montaža sedala z naslonjalom iz okroglega, po načrtu krivljenega profila (krivljen okrogli profil (fi=25 mm, s=4 mm) z zgoraj in spodaj zaprtimi odprtinami), sedalo in naslonjalo iz krivljene ekspandirane pločevine z odprtinami 40/20 mm, debeline 2 mm, varjene na okrogli profil; vse brušeno (neostra površina), cinkano, prašno barvano z barvo po izboru projektanta. Vse po detajlu arhitekta. Skupaj z vsem potrebnim montažnim materialom in deli</t>
  </si>
  <si>
    <t>Dobava, nabava in montaža sedala brez naslonjala iz okroglega, po načrtu krivljenega profila (krivljen okrogli profil (fi=25 mm, s=4 mm) z zgoraj in spodaj zaprtimi odprtinami), sedalo in naslonjalo iz krivljene ekspandirane pločevine z odprtinami 40/20 mm, debeline 2 mm, varjene na okrogli profil; vse brušeno (neostra površina), cinkano, prašno barvano z barvo po izboru projektanta. Vse po detajlu arhitekta. Skupaj z vsem potrebnim montažnim materialom in deli</t>
  </si>
  <si>
    <t>4.2.2</t>
  </si>
  <si>
    <t>4.2.3</t>
  </si>
  <si>
    <t>Izdelava, dobava in montaža kompletnega pitnika, montiranega na AB temelj (40/40/80cm na podložnem betonu debeline 10 cm), kompletno z vsemi potrebnimi deli, armaturno pipo ter vodovodno instalacijo. Pitnik izdelan iz elementov:</t>
  </si>
  <si>
    <t>Vtočna rešetka: litoželezna vtočna rešetka - točkovni požiranik dimenzij 30x30cm obremenitveni razred B 125 npr.: rešetka ACO DRAIN. Odtok iz pitnika izveden z cevjo fi 40mm, dolžine 3-4m, direktno v meteorno kanalizacijo</t>
  </si>
  <si>
    <t>š/g/v = 20/20/100cm (svetla višina)</t>
  </si>
  <si>
    <t>1.1.8</t>
  </si>
  <si>
    <t>1.1.9</t>
  </si>
  <si>
    <t xml:space="preserve">Humuziranje (ročno) v debelini do 20 cm in zatravitev po navodilih kraj. arh. </t>
  </si>
  <si>
    <t>Trava na grušču (območje pri kalupu)</t>
  </si>
  <si>
    <t>Pot proti vili Palm</t>
  </si>
  <si>
    <t>Skupaj zamejitev bambusa in uvoz:</t>
  </si>
  <si>
    <t>Uvoz in zamejitev bambusa</t>
  </si>
  <si>
    <t>Skupaj ureditve pri vili Palm:</t>
  </si>
  <si>
    <t>ZAMEJITEV BAMBUSA: Dobava, nabava in montaža pocinkanega robnika za zamejitev bambusa (pocinkan robnik 2mm, višine 70cm) po detajlu projektanta; na območju otroškega igrišča naj bo robnik zaobljen (bigan), brez ostrih robov!</t>
  </si>
  <si>
    <t>Pesek in odstranitev drevesa z deblom premera nad 50 cm ter odstranitev vej in panja. Nakladanje in odvoz na ustrezno deponijo po izboru izvajalca s plačilom deponijske takse.</t>
  </si>
  <si>
    <t>Ograja pri vratarnici - ograja tip A</t>
  </si>
  <si>
    <t>Ograja ob poti k Laščakovi vili - ograja tip B</t>
  </si>
  <si>
    <t>Demontaža in odstranitev ter deponiranje obstoječih ograj na mostovih, višine cca 1m, dolžine med 3 in 5m). Ograje so narejene iz lesa.</t>
  </si>
  <si>
    <t>Ograje na mostičkih - ograja tip B</t>
  </si>
  <si>
    <t>Ograja okoli Laščakove vile - ograja tip B</t>
  </si>
  <si>
    <t>Ograja pri ruševinah vile Palm - ograja tip B</t>
  </si>
  <si>
    <t>Dobava, navaba in vgradnja VRAT v obodni ograji: širine 1m, višine kot ograja, polnilo in okvir enako kot ograja, kljuka/ključavnica na daljinsko zaklepanje. Vse po detajlu arhitekta.</t>
  </si>
  <si>
    <t xml:space="preserve">Konstrukcija za popenjalko </t>
  </si>
  <si>
    <t>Dobava, nabava in montaža podnožja AB kotne klopi po detajlu arhitekta (klop - razgledišče). Klop sestavljena iz betonskega podstavka (raztegnjene dimenzije 2m + 2,5m/0,64m/0,40m). Vse po detajlu arhitekta. Skupaj z vsemi deli (izkop, zasutjem in utrjevanje). Betonski prefabrikat -pigmentiran beton z vmešanim agregatom iz porfirja, ob strani pobrani robovi, na vseh vidnih stranicah grobo brušen). Sestava agregata in pigment po izboru in potrditvi vzorca s strani projektanta!</t>
  </si>
  <si>
    <t>Razvoj prototipov vseh tipov klopi, prilagoditve, delavniške načrti in vse potrebno za izdelavo</t>
  </si>
  <si>
    <t>pitnik izdelan iz fino brušenega betona C 30/37 z dodatki za zmrzlino in solno odpornost, vrsta in sestava agregata v dogovoru s projektantom. Skupaj s sidrno ploščo (ploščato jeklo) dimenzij 400/400/10 mm privijačiti na sidra, ki so predhodno postavljena v temelj</t>
  </si>
  <si>
    <t>Vsi robovi obdelani z r=1 cm</t>
  </si>
  <si>
    <t>Armatura-pipe iz INOXa, premera fi=1/2" s potisnim ventilom, ki je dislociran (razvidno iz prereza) izbira armature po predlogu projektanta, kompletno z vsem potrebnim pritrdilnim in spojnim materialom. Armatura po izboru projektanta. Vgradnja instalacije se izvrši ob betoniranju pitnika</t>
  </si>
  <si>
    <t>postavitev stalne razstave na prostem (posamezni detajli v skladu z zasnovo razstave)</t>
  </si>
  <si>
    <t>vsebinska in oblikovna zasnova stalne razstave o zgodovini in vegetaciji v parku, grafično oblikovanje informacijske table, označb v tleh</t>
  </si>
  <si>
    <t>Postopna demontaža obstoječe pergole iz jeklenih profilov, dimenzije cca. (d/š/v) 3,5m, 4,5m in 2,5m. Skupaj z deponiranjem in vsemi tranposrti na stalni deponiji; demontaža in montaža pergole se prilagodita obstoječi gliciniji!
Po demontaži se glicinijo začasno podpre (dela pod nadzorom arborista)</t>
  </si>
  <si>
    <t>Izdelava nevezane (mehanično stabilizirane) obrabne plasti iz zmesi zrn drobljenca 0/22mm v debelini 10cm. Material se mora pred uvaljanjem ustrezno navlažiti. Utrditev do predpisane vrednosti.</t>
  </si>
  <si>
    <t>Dobava in vgradnja zmesi drobljenih zrn 0/8mm, za zaklinjenje nevezane obrabne plasti v debelini 2cm. Material se mora pred uvaljanjem ustrezno navlažiti.</t>
  </si>
  <si>
    <t>Montaža igrala (postavka 3.3.8)</t>
  </si>
  <si>
    <t>Montaža igrala (postavka 3.3.10)</t>
  </si>
  <si>
    <t xml:space="preserve">Dobava, nabava in vgradnja betonskih prefabrikatov za stopnice, pigmentiran brušen beton, pobrani robovi. Prefabrikati se lepijo na linijski temelj in nalagajo eden na drugega. Širina prefabrikata 0,8 m, globina 0,38 m, debelina 0,20 m. Izdelava po detajlu in navodilih arhitekta, vključno z armaturo in vsemi montažnimi deli in drobnim materialom. brušene/finalno obdelane z vseh vidnih strani
</t>
  </si>
  <si>
    <t xml:space="preserve">Dobava, nabava in vgradnja betonskih prefabrikatov za stopnice, pigmentiran brušen beton, pobrani robovi. Prefabrikati se lepijo na linijski temelj in nalagajo eden na drugega. Širina prefabrikata 1,2 m, globina 0,41 m, debelina 0,22 m. Izdelava po detajlu in navodilih arhitekta, vključno z armaturo in vsemi montažnimi deli in drobnim materialom. brušene/finalno obdelane z vseh vidnih strani
</t>
  </si>
  <si>
    <t>Blazine za sedenje iz dveh plasti filca s polnilom, v sivi barvi, fi 35 cm</t>
  </si>
  <si>
    <t>Skupaj stabilizacija brežin:</t>
  </si>
  <si>
    <r>
      <t>m</t>
    </r>
    <r>
      <rPr>
        <vertAlign val="superscript"/>
        <sz val="10"/>
        <rFont val="Arial Narrow"/>
        <family val="2"/>
        <charset val="238"/>
      </rPr>
      <t>3</t>
    </r>
  </si>
  <si>
    <t>Nabava, dobava in montaža ograje na podest (ekspandirana pločevina, 1000x1150mm ter rezana pod kotom (paralelogram), vertikalna okenca »karo« 98x48, debelina oz. višina ekspandirane pločevine 3,5mm, propustnost 88%)</t>
  </si>
  <si>
    <t xml:space="preserve">Nabava, dobava in montaža pohodne, bigane ekspandirane pločevine,  skupne dolžine 6,3m, širine 3m, horizontalna okenca »karo« 46x14, debelina pločevine 5,5mm, skupna debelina oz. višina ekspandirane pločevina 10mm cinkani in barvani
</t>
  </si>
  <si>
    <t xml:space="preserve">Izdelava konzolne klopi na kovinski podkonstrukciji iz škatlastih profilov 60/100/5 mm, sedalna površina iz ekspandirane pločevine, horizontalna okenca »karo« 46x14, debelina pločevine 5,5mm, skupna debelina oz. višina ekspandirane pločevina 10mm cinkani in barvani1500x500mm. Skladno z navodili arhitekta z vsemi potrebnimi deli.
</t>
  </si>
  <si>
    <t>Phl / Phillyrea latifolia (širokolistna zelenika), 60 - 70 cm, 7 poganjkov, sadika v kontejnerju</t>
  </si>
  <si>
    <t>Previden površinski odkop nasutja na mostičkih (do globine 50 cm) - čiščenje nanosov na mostičkih in ugotavljanje stanja. Skupaj z odvozom in deponiranjem materiala na stalno deponijo.</t>
  </si>
  <si>
    <t xml:space="preserve">Dobava, nabava in vgradnja betonskih prefabrikatov, pigmentiran brušen beton, pobrani robovi. Prefabrikati se lepijo na linijski temelj in nalagajo eden na drugega. Širina prefabrikata 1,2m, globina 0,47m, debelina 0,22m. Izdelava po detajlu in navodilih arhitekta, vključno z armaturo in vsemi montažnimi deli in drobnim materialom. brušene/finalno obdelane z vseh vidnih strani. Beton mora biti izveden tako, da bo prestal test drsnosti (vključen v sklop tujih storitev)
</t>
  </si>
  <si>
    <t>Izvedba testa zdrsnosti za vse zahtevane betonske pohodne površine (liti beton, prebrafbrikati stopnic) skupaj z izdelavo potrdila o zdrsnosti.</t>
  </si>
  <si>
    <t>Dobava, nabava in montaža betonskih armiranih prefabrikatov (pigmentiran beton z vmešanim agregatom iz porfirja, ob strani pobrani robovi, obdelava betona po navodilih projektanta; finalna obdelava z vseh vidnih strani) lepljeni in sidrani na kovinsko podkonstrukcijo , skupaj z armaturo (cca 130kg/m3). Beton mora biti izveden tako, da bo prestal test drsnosti (vključen v sklop tuje storitve)
dimenzije: 
1 x 239 x 140 x 10 cm
1 x 404 x 140 x 10 cm
6 x 401 x 140 x 10 cm</t>
  </si>
  <si>
    <t>Dobava, nabava in montaža info označbe v tleh, sestavljene iz betonskega prefabrikata fi=60 (pigmentiran beton vmešanim agregatom iz porfirja, ob strani pobrani robovi, na vseh vidnih stranicah grobo brušen. Na betonskih prefabrikatih je barvana enobarvna grafika (po predlogi pdf; v barvi in s potrditvijo projektanta). Izvedba po detajlu iz projekta, skupaj z vsemi deli in malim materialom</t>
  </si>
  <si>
    <t>Odstranitev obstoječe panelne ograje do viš. 2,00m, z odvozom na ustrezno deponijo. Skupaj z odstranitvijo temeljev, količkov in vseh elementov obstoječe ograje.</t>
  </si>
  <si>
    <t>Dobava in vgradnja kovinskega robnika za ločevanje peščene poti od trave, iz visoko kakovostne pocinkane kovine, bigan po detajlu projektanta, višine 10-20 cm, debeline 1,5-2 mm.</t>
  </si>
  <si>
    <t>Dobava, nabava in vgradnja sloja (65% grušč 32/45mm; 20% šota; 15% humozna zemlja) v debelini 17 cm</t>
  </si>
  <si>
    <t>2.2.5</t>
  </si>
  <si>
    <t>2.2.6</t>
  </si>
  <si>
    <t>2.2.7</t>
  </si>
  <si>
    <t>2.2.18</t>
  </si>
  <si>
    <t>2.2.19</t>
  </si>
  <si>
    <t>2.2.20</t>
  </si>
  <si>
    <t>2.2.21</t>
  </si>
  <si>
    <t>2.2.22</t>
  </si>
  <si>
    <t>2.2.23</t>
  </si>
  <si>
    <t>2.2.24</t>
  </si>
  <si>
    <t>2.2.25</t>
  </si>
  <si>
    <t>2.2.26</t>
  </si>
  <si>
    <t>2.2.27</t>
  </si>
  <si>
    <t>2.2.28</t>
  </si>
  <si>
    <t>2.2.29</t>
  </si>
  <si>
    <t>2.2.30</t>
  </si>
  <si>
    <t>2.2.31</t>
  </si>
  <si>
    <t>2.2.32</t>
  </si>
  <si>
    <t>2.2.33</t>
  </si>
  <si>
    <t>2.2.34</t>
  </si>
  <si>
    <t>2.2.35</t>
  </si>
  <si>
    <t>2.2.36</t>
  </si>
  <si>
    <t>3.1.2</t>
  </si>
  <si>
    <t>Izkop zemljine IV. kat in odvoz na začasno deponijo do 1km - strojno</t>
  </si>
  <si>
    <t>Izkop zemljine IV. kat in odvoz na začasno deponijo do 1km - ročno</t>
  </si>
  <si>
    <t>Izkop zemljine IV. kat in odvoz na trajno deponijo.  - strojno, skupaj s stroški deponiranja, transporta in plačilom vseh deponijskih taks</t>
  </si>
  <si>
    <t>Izkop zemljine IV. kat in odvoz na trajno deponijo.  - ročno, skupaj s stroški deponiranja, transporta in plačilom vseh deponijskih taks</t>
  </si>
  <si>
    <t>3.1.11</t>
  </si>
  <si>
    <t>3.1.12</t>
  </si>
  <si>
    <t>3.1.13</t>
  </si>
  <si>
    <t>3.1.14</t>
  </si>
  <si>
    <t>3.1.15</t>
  </si>
  <si>
    <t>3.1.16</t>
  </si>
  <si>
    <t>3.1.17</t>
  </si>
  <si>
    <t>3.1.18</t>
  </si>
  <si>
    <t>3.1.19</t>
  </si>
  <si>
    <t>3.1.20</t>
  </si>
  <si>
    <t>3.1.21</t>
  </si>
  <si>
    <t>3.1.22</t>
  </si>
  <si>
    <t>3.1.23</t>
  </si>
  <si>
    <t>3.1.24</t>
  </si>
  <si>
    <t>3.1.25</t>
  </si>
  <si>
    <t>3.1.26</t>
  </si>
  <si>
    <t>3.1.27</t>
  </si>
  <si>
    <t>3.1.28</t>
  </si>
  <si>
    <t>3.1.29</t>
  </si>
  <si>
    <t>3.6</t>
  </si>
  <si>
    <t>3.6.1</t>
  </si>
  <si>
    <t>3.6.2</t>
  </si>
  <si>
    <t>3.6.3</t>
  </si>
  <si>
    <t>3.6.4</t>
  </si>
  <si>
    <t>3.6.5</t>
  </si>
  <si>
    <t>3.6.6</t>
  </si>
  <si>
    <t>3.6.7</t>
  </si>
  <si>
    <t>3.6.8</t>
  </si>
  <si>
    <t>3.6.9</t>
  </si>
  <si>
    <t>3.6.10</t>
  </si>
  <si>
    <t>3.6.11</t>
  </si>
  <si>
    <t>3.7</t>
  </si>
  <si>
    <t>Izdelava okroglic premera od 20 - 50 cm iz obstoječih posekanih reves skladno z navodili projektanta. Izvajalec v dogovoru s projektantom shrani posamezne dele odstranjenih debel dreves (okroglice od 20 - 50 cm, pobrani robovi) za potrebe ureditve otroškega igrišča pri vili Palm</t>
  </si>
  <si>
    <t>6.1.9</t>
  </si>
  <si>
    <t>Dobava in nabava zvočnega igrala iz nerjavečega jekla, sestavljenega iz 3 parov cevi z ročkami; ena od ročk cevi regulira intonacijo zvoka, druga pa zrak, ki potuje skozi cev in povzroča zvok. Različne intonacije je mogoče ustvariti glede na hitrost potovanja zraka in regulacije intonacije. Cevi so narejene iz fenolne smole (pari cevi označeni z barvami): Igralo višine 80 cm, premera 1,2 m. vkljkučno s temeljenjem (3 x 40/40/35 cm). kot npr. Richter Spielgerate 9.02660</t>
  </si>
  <si>
    <t>Dobava in nabava igrala telefon - parov stebričev okroglega profila (fi 100 mm) iz nerjavečega železa s konično oblikovano, horizontalno usmerjeno konico v širini 200 mm; pokrito s perforiranim pokrovom. Po dva in dva stebriča sta pod nivojem tal povezana neprodušno zatesnjeno cevjo, po kateri potuje zvok. kot npr. Richter Spielgerate 10.55000</t>
  </si>
  <si>
    <t>Izdelava in montaža prefabricirane tlorisno lomljene AB klopi osne dolžine 180 cm izdelane in obdelane po načrtu krajinske arhitekture in armirane po načrtu gradbenih konstrukcij. Klop izvedena iz betona C 30/37 XC4 XF4. Armatura klopi obračunana v postavki razgledišča</t>
  </si>
  <si>
    <t>Izdelava podložnega betona debeline 10 cm za točkovne temelje razgledišča iz pustega betona C 8/10.</t>
  </si>
  <si>
    <t>Betoniranje točkovnih temeljev razgledišča 60 x 60 x 80 cm iz betona C 25/30.</t>
  </si>
  <si>
    <t>Izdelava podložnega betona debeline 10 cm za pasovne temelje razgledišča iz pustega betona C 8/10.</t>
  </si>
  <si>
    <t>Betoniranje pasovnih temeljev razgledišča 50 x 50 cm iz betona C 25/30.</t>
  </si>
  <si>
    <t>Betoniranje sten razgledišča debeline 20 cm iz betona C 25/30.</t>
  </si>
  <si>
    <t>Opaž točkovnih temeljev 60 x 60 x 80 cm razgledišča</t>
  </si>
  <si>
    <t>Dvostranski opaž pasovnih temeljev razgledišča 50 x 50 cm</t>
  </si>
  <si>
    <t>Notranji del dvostranskega opaža sten razgledišča za nevidni beton na notranji strani razgledišča. Stene debeline 20 cm.</t>
  </si>
  <si>
    <t>Zunanji del dvostranskega opaža sten razgledišča za vidni beton na zunanji strani razgledišča. Stene debeline 20 cm.</t>
  </si>
  <si>
    <t xml:space="preserve">Opaž roba plošča višine 20 cm za vidni beton. </t>
  </si>
  <si>
    <t>Opaž za okroglo odprtino v plošči debeline 20 cm. Premer okrogle odprtine 100 cm.</t>
  </si>
  <si>
    <t>Dobava krojenje in polaganje armaturnih mrež S 500</t>
  </si>
  <si>
    <t>Ponovna vgradnja (zasip z izkopanim materialom z utrjevanjem do trdnosti 80Mpa) izkopanega materiala po navodilih in načrtih arhitekta - oblikovanje terena skupaj s planiranjem - strojno</t>
  </si>
  <si>
    <t>Izdelava podložnega betona debeline 10 cm za točkovne temelje pomola iz pustega betona C 8/10.</t>
  </si>
  <si>
    <t>Betoniranje točkovnih temeljev pomola 60 x 60 x 80 cm iz betona C 25/30.</t>
  </si>
  <si>
    <t>Izdelava podložnega betona debeline 10 cm za pasovne temelje pomola iz pustega betona C 8/10.</t>
  </si>
  <si>
    <t>Betoniranje pasovnih pomola razgledišča 50 x 50 cm iz betona C 25/30.</t>
  </si>
  <si>
    <t>Betoniranje sten pomola debeline 20 cm iz betona C 25/30.</t>
  </si>
  <si>
    <t>Opaž točkovnih temeljev 60 x 60 x 80 cm pomola</t>
  </si>
  <si>
    <t>Dvostranski opaž temeljev pomola 50 x 50 cm</t>
  </si>
  <si>
    <t>Notranji del dvostranskega opaža sten pomola za nevidni beton na notranji strani razgledišča. Stene debeline 20 cm.</t>
  </si>
  <si>
    <t>Zunanji del dvostranskega opaža sten pomola za vidni beton na zunanji strani razgledišča. Stene debeline 20 cm.</t>
  </si>
  <si>
    <t>3.6.12</t>
  </si>
  <si>
    <t>3.6.13</t>
  </si>
  <si>
    <t>3.6.14</t>
  </si>
  <si>
    <t>3.6.15</t>
  </si>
  <si>
    <t>3.6.16</t>
  </si>
  <si>
    <t>3.6.17</t>
  </si>
  <si>
    <t>3.6.18</t>
  </si>
  <si>
    <t>3.6.19</t>
  </si>
  <si>
    <t>3.6.20</t>
  </si>
  <si>
    <t>3.6.21</t>
  </si>
  <si>
    <t>3.6.22</t>
  </si>
  <si>
    <t>3.6.23</t>
  </si>
  <si>
    <t>3.6.24</t>
  </si>
  <si>
    <t>3.4.6</t>
  </si>
  <si>
    <t>3.4.15</t>
  </si>
  <si>
    <t>3.4.16</t>
  </si>
  <si>
    <t>3.4.17</t>
  </si>
  <si>
    <t>3.4.18</t>
  </si>
  <si>
    <t>3.6.25</t>
  </si>
  <si>
    <t>3.6.26</t>
  </si>
  <si>
    <t>3.7.1</t>
  </si>
  <si>
    <t>3.7.2</t>
  </si>
  <si>
    <t>3.7.3</t>
  </si>
  <si>
    <t>3.7.4</t>
  </si>
  <si>
    <t>3.7.5</t>
  </si>
  <si>
    <t>3.7.6</t>
  </si>
  <si>
    <t>3.7.7</t>
  </si>
  <si>
    <t>3.7.8</t>
  </si>
  <si>
    <t>3.7.9</t>
  </si>
  <si>
    <t>3.7.10</t>
  </si>
  <si>
    <t>3.7.11</t>
  </si>
  <si>
    <t>3.7.12</t>
  </si>
  <si>
    <t>3.7.13</t>
  </si>
  <si>
    <t>3.7.14</t>
  </si>
  <si>
    <t>3.7.15</t>
  </si>
  <si>
    <t>3.7.16</t>
  </si>
  <si>
    <t>3.7.17</t>
  </si>
  <si>
    <t>3.7.18</t>
  </si>
  <si>
    <t>3.7.19</t>
  </si>
  <si>
    <t>3.7.20</t>
  </si>
  <si>
    <t>3.7.21</t>
  </si>
  <si>
    <t>3.7.22</t>
  </si>
  <si>
    <t>3.7.23</t>
  </si>
  <si>
    <t>Izdelava podložnega betona debeline 10 cm za točkovni temelj poti iz pustega betona C 8/10.</t>
  </si>
  <si>
    <t>Betoniranje točkovnega temelja poti 40 x 80 x 80 cm iz betona C 25/30.</t>
  </si>
  <si>
    <t>Izdelava podložnega betona debeline 10 cm za pasovni temelj poti iz pustega betona C 8/10.</t>
  </si>
  <si>
    <t>Betoniranje pasovnega temelja poti 100 x 60 cm iz betona C 25/30.</t>
  </si>
  <si>
    <t>Betoniranje AB montažnih plošč poti iz betona C 30/37 s finalno obdelavo opisano v načrtu krajinske arhitekture.</t>
  </si>
  <si>
    <t>Opaž točkovnih temeljev 40 x 80 x 80 cm poti</t>
  </si>
  <si>
    <t>Dvostranski opaž pasovnega temelja poti 100 x 60 cm</t>
  </si>
  <si>
    <t>Talni opaž za izdelavo montažnih plošč poti. Gladek opaž za večkratno uporabo. 400 x 140 cm. Komadov plošč (7 +1)</t>
  </si>
  <si>
    <t>Opaž roba montažnih plošč višine 10 cm za vidni beton, vključno z robnimi letvami. Opaž robu za večkratno uporabo. Komadov plošč (7 +1)</t>
  </si>
  <si>
    <t xml:space="preserve">Dobava, nabava in vgradnja litega, ob straneh opaženega pigmentiranega betona z vmešanim agregatom iz porfirja (detajl polaganja- glej list: 5.2), skupaj z vsemi potrebnimi opaži in pripravo podlage. Liti beton mora biti izveden tako, da bo prestal test drsnosti (testiranje vključeno v tujih delih). Debelina betona 20cm. Vse po navodilih arhitekta. (glej list 6.7)
</t>
  </si>
  <si>
    <t>3.1.30</t>
  </si>
  <si>
    <t>3.1.31</t>
  </si>
  <si>
    <t>3.1.32</t>
  </si>
  <si>
    <t>3.1.33</t>
  </si>
  <si>
    <t>3.1.34</t>
  </si>
  <si>
    <t>3.1.35</t>
  </si>
  <si>
    <t>3.1.36</t>
  </si>
  <si>
    <t>3.1.37</t>
  </si>
  <si>
    <t>Izdelava podložnega betona debeline 10 cm za pasovni temelj stopnic iz pustega betona C 8/10.</t>
  </si>
  <si>
    <t>Betoniranje pasovnega temelja stopnic 60 x 18 in 55x60x90 cm in 55x60x75 cm cm iz betona C 25/30.</t>
  </si>
  <si>
    <t>Opaž točkovnih temeljev 55 x 60 x 90 cm in 55x60x75 cm stopnic</t>
  </si>
  <si>
    <t>Opaž robu temelja stopnišča višine 30 cm</t>
  </si>
  <si>
    <t>Opaž čelnih ploskev temelja stopnic 60 x 12 cm (85 kom)</t>
  </si>
  <si>
    <t>3.1.38</t>
  </si>
  <si>
    <t>3.1.39</t>
  </si>
  <si>
    <t>3.1.40</t>
  </si>
  <si>
    <t>3.1.41</t>
  </si>
  <si>
    <t>Izdelava podložnega betona debeline 10 cm za temeljno ploščo strojnice iz pustega betona C 8/10.</t>
  </si>
  <si>
    <t>Betoniranje temeljne plošče strojnice iz betona C 30/37. Plošča debela 20 cm.</t>
  </si>
  <si>
    <t>Betoniranje sten sten strojnice debeline 20 cm iz betona C 30/37.</t>
  </si>
  <si>
    <t>Betoniranje AB krovne plošče strojnice iz betona C 30/37.</t>
  </si>
  <si>
    <t>Betoniranje vstopnega vratu strojnice iz betona C 30/37.</t>
  </si>
  <si>
    <t>Opaž robu temeljne plošče strojnice višine 20 cm</t>
  </si>
  <si>
    <t>Dvostranski opaž sten strojnice za vodotesen beton vključno s stranskim opiranjem opaža.</t>
  </si>
  <si>
    <t>Opaž AB krovne plošče strojnice vključno s podpiranjem opaža.</t>
  </si>
  <si>
    <t>Opaž robu krovne plošče strojnice višine 20 cm</t>
  </si>
  <si>
    <t>Opaž okroglega vratu vstopne odprtine za nastavek litoželeznega pokrova</t>
  </si>
  <si>
    <t>3.2.2</t>
  </si>
  <si>
    <t>3.2.4</t>
  </si>
  <si>
    <t>3.2.5</t>
  </si>
  <si>
    <t>3.2.6</t>
  </si>
  <si>
    <t>3.2.8</t>
  </si>
  <si>
    <t>3.2.9</t>
  </si>
  <si>
    <t>3.2.11</t>
  </si>
  <si>
    <t>1.2.11</t>
  </si>
  <si>
    <t xml:space="preserve">VODNA ATRAKCIJA – Komet </t>
  </si>
  <si>
    <t>PVC cevni vod fi32</t>
  </si>
  <si>
    <t>PVC cevni vod fi90</t>
  </si>
  <si>
    <t>OSREDNJA VODNA ATRAKCIJA – Komet</t>
  </si>
  <si>
    <t>šoba KOMET 10T 1/2'' - 2m3/h</t>
  </si>
  <si>
    <t>Filter PRO HB TOP 50kg peska</t>
  </si>
  <si>
    <t>AVTOMATSKI SISTEM ZA DEZINFEKCIJO</t>
  </si>
  <si>
    <t>dozator tablet za Cl</t>
  </si>
  <si>
    <t>klor tablete 200g</t>
  </si>
  <si>
    <t>OPREMA KOMPENZACIJSKEGA BAZENA</t>
  </si>
  <si>
    <t xml:space="preserve">varnostni preliv </t>
  </si>
  <si>
    <t>nivo regulacija 5Nivo</t>
  </si>
  <si>
    <t>avtomatsko dopolnjevanje sveže vode</t>
  </si>
  <si>
    <t xml:space="preserve">Potopna črpalka </t>
  </si>
  <si>
    <t>Potopna črpalka s polovcem OMNIA 11,5m3/h</t>
  </si>
  <si>
    <t>napisi, drobni material</t>
  </si>
  <si>
    <t>3.2.15</t>
  </si>
  <si>
    <t>3.2.18</t>
  </si>
  <si>
    <t>3.2.19</t>
  </si>
  <si>
    <t xml:space="preserve">Dobava, nabava in vgradnja litega, ob straneh opaženega pigmentiranega betona z vmešanim agregatom iz porfirja (detajl polaganja- glej list: 5.2), skupaj z vsemi potrebnimi opaži in pripravo podlage. Liti beton mora biti izveden tako, da bo prestal test drsnosti (testiranje vključeno v tujih delih). Debelina betona 20cm. Vse po navodilih arhitekta. (glej list 6.7). Skupaj z vsemi deli in izdelavo intarzije v betonu - glej detajl vodnega motiva
</t>
  </si>
  <si>
    <t>Dobava, nabava in montaža LTŽ rešetke za odvodnjo vode, skupaj z okvirjem in vsemi ostalimi potrebnimi kosi. Rešetka fi 300mm</t>
  </si>
  <si>
    <t>4.1.11</t>
  </si>
  <si>
    <t>2.1.14</t>
  </si>
  <si>
    <r>
      <t xml:space="preserve">Izdelava vključno z dobavo in nabavo vsega materiala za izdelavo betonskega cestnega požiralnika iz </t>
    </r>
    <r>
      <rPr>
        <sz val="10"/>
        <color indexed="8"/>
        <rFont val="Segoe UI"/>
        <family val="2"/>
        <charset val="238"/>
      </rPr>
      <t>cevi premera 50 cm, z vtokom skozi rešetko iz duktilne litine s nosilnostjo 250kN, s prerezom 400/400 mm. Rešetka mora ustrezati SIST EN 124-2:2015. Vključno z izdelavo priklopa na prepust.</t>
    </r>
  </si>
  <si>
    <t>Dobava in vgradnja betonskih kanalet dimenzije 46/58 x 100 x 16cm.  Vključno z vsemi potrebnimi deli.</t>
  </si>
  <si>
    <t>Izdelava obbetoniranega veznega kanala iz PVC cevi fi 250mm - cevni prepusti.</t>
  </si>
  <si>
    <t>Betoniranje pasovnih in točkovnih temeljev stopnic iz betona C 25/30.</t>
  </si>
  <si>
    <t>Opaž čelnih ploskev temelja stopnic 40 x 15 cm (23 kom) in 60 x 15 cm (6 kom)</t>
  </si>
  <si>
    <t>3.4.19</t>
  </si>
  <si>
    <t>3.4.20</t>
  </si>
  <si>
    <t>3.4.21</t>
  </si>
  <si>
    <t>3.4.22</t>
  </si>
  <si>
    <t>3.4.23</t>
  </si>
  <si>
    <t>Izdelava podložnega betona debeline 10 cm za točkovne temelje PERGOLE iz pustega betona C 8/10.</t>
  </si>
  <si>
    <t>Betoniranje točkovnih temeljev PERGOLE 40 x 40 x 60 cm iz betona C 25/30.</t>
  </si>
  <si>
    <t>Opaž točkovnih temeljev PERGOLE 40 x 40 x 60 cm</t>
  </si>
  <si>
    <t>4.3.5</t>
  </si>
  <si>
    <t>4.3.6</t>
  </si>
  <si>
    <t>4.3.7</t>
  </si>
  <si>
    <t>Izdelava podložnega betona debeline 10 cm za točkovne temelje konstrukcije za penjalko iz pustega betona C 8/10.</t>
  </si>
  <si>
    <t>Betoniranje točkovnih temeljev konstrukcije za penjalko 40 x 40 x 60 cm iz betona C 25/30.</t>
  </si>
  <si>
    <t>Opaž točkovnih temeljev konstrukcije za penjalko 40 x 40 x 60 cm</t>
  </si>
  <si>
    <t>4.1.17</t>
  </si>
  <si>
    <t>4.1.18</t>
  </si>
  <si>
    <t>Izdelava podložnega betona debeline 10 cm za pasovni temelj ograje parka iz pustega betona C 8/10.</t>
  </si>
  <si>
    <t>4.1.19</t>
  </si>
  <si>
    <t>4.1.20</t>
  </si>
  <si>
    <t>4.1.21</t>
  </si>
  <si>
    <t>Dobava, nabava in montaža mreže kvadratne oblike (2,5m x 2,5m) iz 16 mm vrvi v barvi po izboru projektanta. Vrvi imajo jekleno jedro, nanj toplotno indukcijsko pritaljeno  PA (polyamidno) prejo. Na območju ležanja so povezave med vrvmi  prepletene brez trdnih predmetov. Rob mreže je fiksiran s kovinskimi, pocinkanimi konektorji, odpornimi na zunanje vplive brez ostrih robov. Velikost odprtin &lt; 12 x 12 cm. Mreža ima na 4 vogalih zanko iz zaključnih vrvi, zaključeno z kovinskim, pocinkanim detajlom dvojne stožčaste oblike z zaobljenimi konci. Skupaj s potrebnimi pocinkanimi in barvanimi jeklenimi cevmi fi 80mm, debelina stene 5mm, svetla višina od 50cm do 100cm, skupaj s temeljem C25/30, dimenzije d/š/g 50/50/60cm, na podložnem betonu C8/10, skupaj z armaturo (9kg/temelj) in opažem. Vse po detajlu arhitetka. Skupaj z detajlom vpetja za mrežo. Mreže morajo imeti pisno potrdilo proizvajalca, da so izdelane v skladu z varnostnimi standardi SIST EN 1176 (Oprema otroških igrišč) in SIST EN 1177 (Ublažitev udarcev pri površinah otroških igrišč).</t>
  </si>
  <si>
    <t>Dobava, nabava in montaža info table, sestavljene iz dveh pravokotnih profilov (40/60/5cm), dibond plošče debeline 8mm (vijačena v pravokotni profil) in iz dveh betonskih točkovnih temeljev C25/30 (40/40/80cm) na podložnem betonu C8/10. Izvedba po detajlu iz projekta, skupaj z vsemi deli in malim materialom.</t>
  </si>
  <si>
    <t>Odstranitev in odvoz s plačilom deponijskih taks obstoječih nefunkcionalnih zidcev širine do 30 cm in skupne višine do 1 m na območju vodotoka. Skupaj z vsemi izkopi in ostalimi deli.</t>
  </si>
  <si>
    <t>Izkop zemljine IV. kat in odvoz na trajno deponijo . Izkop pod objektom</t>
  </si>
  <si>
    <t>1.1.10</t>
  </si>
  <si>
    <t>1.1.11</t>
  </si>
  <si>
    <t>1.1.12</t>
  </si>
  <si>
    <t>Izkop zemljine IV. kat in odvoz na začasno deponijo do 1km - strojno (oblikovanje terena za podrto garažo)</t>
  </si>
  <si>
    <t>2.2.37</t>
  </si>
  <si>
    <t>2.2.38</t>
  </si>
  <si>
    <t>2.2.39</t>
  </si>
  <si>
    <t>2.2.40</t>
  </si>
  <si>
    <t>4.1.22</t>
  </si>
  <si>
    <t>4.1.23</t>
  </si>
  <si>
    <t>4.1.24</t>
  </si>
  <si>
    <t>4.1.25</t>
  </si>
  <si>
    <t>4.2.13</t>
  </si>
  <si>
    <t>september 2020</t>
  </si>
  <si>
    <r>
      <t>Nabava in dobava peska gr</t>
    </r>
    <r>
      <rPr>
        <b/>
        <sz val="9"/>
        <rFont val="Frutiger"/>
        <family val="2"/>
        <charset val="238"/>
      </rPr>
      <t>.</t>
    </r>
    <r>
      <rPr>
        <sz val="9"/>
        <rFont val="Frutiger"/>
        <family val="2"/>
        <charset val="238"/>
      </rPr>
      <t xml:space="preserve"> 0-4 mm in izdelava nasipa za izravnavo dna jarka debeline 10 cm, s planiranjem in utrjevanjem do 95 % trdnosti po standardnem Proktorjevem postopku.
Obračun za 1 m3.</t>
    </r>
  </si>
  <si>
    <t>Nabava, dobava in izdelava nasipa v deb. 20 cm nad temenom cevi iz peska granulacije 0-4 mm. Na peščeno posteljico se izvede 3-5 cm deb. ležišče cevi. Obsip cevi se izvaja v slojih po 15 cm, istočasno na obeh straneh cevi z utrjevanjem po standardem Proctorjevem postopku. 
Obračun za 1 m3.</t>
  </si>
  <si>
    <t>Zasip z izkopanim materialom do nivoja tampona z utrjevanjem v plasteh po 20 cm.  Obračun za 1 m3.</t>
  </si>
  <si>
    <t>Nabava in dobava peska gr. 0-4 mm in izdelava nasipa za izravnavo dna jarka debeline 10 cm, s planiranjem in utrjevanjem do 95 % trdnosti po standardnem Proktorjevem postopku.
Obračun za 1 m3.</t>
  </si>
  <si>
    <t>Nabava, dobava in izdelava nasipa 20 cm nad temenom cevi iz peska granulacije 0-4 mm. Na peščeno posteljico se izvede 3-5 cm deb. ležišče cevi. Obsip cevi se izvaja v slojih po 15 cm, istočasno na obeh straneh cevi z utrjevanjem po standardem Proktorjevem postopku. 
Obračun za 1 m3.</t>
  </si>
  <si>
    <t>Zasip jarka z izkopanim materialom do nivoja tampona z utrjevanjem v plasteh po 20 cm.  Obračun za 1 m3.</t>
  </si>
  <si>
    <t>Utrditev brežin in struge potoka. Obračun za 1 m2.</t>
  </si>
  <si>
    <t xml:space="preserve">m2 </t>
  </si>
  <si>
    <t>Nabava, dobava in montaža revizijskih jaškov iz betona. Premer jaška 800 mm, globina 1 - 2 m. Pokorvi so predmet načrta KA.  Obračun za 1 kos.</t>
  </si>
  <si>
    <t>Dodatni in nepredvideni material: 10% od vrednosti.</t>
  </si>
  <si>
    <t>Geodetski posnetek in vris v kataster. En izvod posnetka v Gauss-Krugerjevem sistemu se odda v elektronski obliki. Obračun za 1 m1.</t>
  </si>
  <si>
    <t>01.8</t>
  </si>
  <si>
    <t>1.2.12</t>
  </si>
  <si>
    <t xml:space="preserve">Izdelava poliestrskega revizijskega jaška SN10, DN 1000 mm, na kanalu PVC DN160 mm, globine do 1,50 m, kompletno z AB vencem in obročem za okvir in pokrov, ter LTŽ pokrovom z fi 600 mm EN 124 D 400, ter AB tipsko krovno ploščo C20/25. Pokrov izveden na zaklep z odprtinami za zračeneje. Mulda je izoblikovana iz poliestra v obliki koritnice. Prehod med poliestrom in AB vencem izveden preko profilne gume. (RJ1_S1) </t>
  </si>
  <si>
    <t xml:space="preserve">Priprava gradbišča v dolžini L=189,23m, odstranitev eventuelnih ovir, prometnih znakov in utrditev delovnega platoja. Po končanih delih gradbišče pospraviti in vzpostaviti v prvotno stanje.                         </t>
  </si>
  <si>
    <t>02.16</t>
  </si>
  <si>
    <t>Polno obbetoniranje kanalizacijske cevi, ki poteka v brežini med jaškoma RJ3_S2 in RJ7_S2.</t>
  </si>
  <si>
    <t>02.17</t>
  </si>
  <si>
    <t>02.18</t>
  </si>
  <si>
    <t>Humuziranje in zatravitev z vodno setvijo. Vrsta travne mešanice se prilagodi glede na lokacijo. Vsa dela okoli lesnatih rastlin se morajo izvesti v skladu z dodatnimi usmeritvami, podanimi na terenu s strani arbortista. Za semena mora biti pridobljen certifikat o ustreznosti, ki ga izda ESCAA.</t>
  </si>
  <si>
    <t>Izdelava poliestrskega revizijskega jaška SN10, DN 800 mm, na kanalu PVC DN160 mm, globine do 1,50 m, kompletno z AB vencem in obročem za okvir in pokrov, ter LTŽ pokrovom z fi 600 mm EN 124 B125, ter AB tipsko krovno ploščo C20/25. Pokrov izveden na zaklep z odprtinami za zračeneje. Mulda je izoblikovana iz poliestra v obliki koritnice. Prehod med poliestrom in AB vencem izveden preko profilne gume. (RJ4_S4, RJ5_S2, RJ6_S2, RJ7_S2)</t>
  </si>
  <si>
    <t>Izdelava poliestrskega revizijskega jaška SN10, DN 800 mm, na kanalu PVC DN160 mm, globine do 1,50-2,00 m, kompletno z AB vencem in obročem za okvir in pokrov, ter LTŽ pokrovom z fi 600 mm EN 124 B125, ter AB tipsko krovno ploščo C20/25. Pokrov izveden na zaklep z odprtinami za zračeneje. Mulda je izoblikovana iz poliestra v obliki koritnice. Prehod med poliestrom in AB vencem izveden preko profilne gume. (RJ8_S2, RJ9_S2). OP: na jašek RJ9_S2 se vgradi pokrov D400.</t>
  </si>
  <si>
    <t>Izdelava poliestrskega revizijskega jaška SN10, DN 1000 mm, na kanalu PVC DN160 mm, globine do 1,50-2,00 m, kompletno z AB vencem in obročem za okvir in pokrov, ter LTŽ pokrovom z fi 600 mm EN 124 B125, ter AB tipsko krovno ploščo C20/25. Pokrov izveden na zaklep z odprtinami za zračeneje. Mulda je izoblikovana iz poliestra v obliki koritnice. Prehod med poliestrom in AB vencem izveden preko profilne gume. (RJ3_S2)</t>
  </si>
  <si>
    <t>Izdelava poliestrskega revizijskega jaška SN10, DN 1000 mm, na kanalu PVC DN160 mm, globine do 2,50-3,00 m, kompletno z AB vencem in obročem za okvir in pokrov, ter LTŽ pokrovom z fi 600 mm EN 124 B125, ter AB tipsko krovno ploščo C20/25. Pokrov izveden na zaklep z odprtinami za zračeneje. Mulda je izoblikovana iz poliestra v obliki koritnice. Prehod med poliestrom in AB vencem izveden preko profilne gume. Izvedba jaška s sušnim vtokom/kaskado. (PRJ1_S2, PRJ_S2)</t>
  </si>
  <si>
    <t>Obbetoniranje jaškov, ki potekajo v brežini ob stopnišči (RJ3_S2, RJ4_S2, RJ5_S2, RJ6_S2, RJ7_S2)</t>
  </si>
  <si>
    <t>Izdelava poliestrskega revizijskega jaška SN10, DN 1000 mm, na kanalu PVC DN160 mm, globine do 2,00-2,50 m, kompletno z AB vencem in obročem za okvir in pokrov, ter LTŽ pokrovom z fi 600 mm EN 124 D 400, ter AB tipsko krovno ploščo C20/25. Pokrov izveden na zaklep z odprtinami za zračeneje. Mulda je izoblikovana iz poliestra v obliki koritnice. Prehod med poliestrom in AB vencem izveden preko profilne gume. (RJ1_S2.1)</t>
  </si>
  <si>
    <t xml:space="preserve">Priprava gradbišča v dolžini L=116,87m, odstranitev eventuelnih ovir, prometnih znakov in utrditev delovnega platoja. Po končanih delih gradbišče pospraviti in vzpostaviti v prvotno stanje.                         </t>
  </si>
  <si>
    <t>Izdelava poliestrskega revizijskega jaška SN10, DN 800 mm, na kanalu PVC DN160 mm, globine do 1,50 m, kompletno z AB vencem in obročem za okvir in pokrov, ter LTŽ pokrovom z fi 600 mm EN 124 B125, ter AB tipsko krovno ploščo C20/25. Pokrov izveden na zaklep z odprtinami za zračeneje. Mulda je izoblikovana iz poliestra v obliki koritnice. Prehod med poliestrom in AB vencem izveden preko profilne gume. (RJ3_S3, RJ4, _S3, RJ5_S3)</t>
  </si>
  <si>
    <t>Izdelava poliestrskega revizijskega jaška SN10, DN 1000 mm, na kanalu PVC DN160 mm, globine do 2,50-3,00 m, kompletno z AB vencem in obročem za okvir in pokrov, ter LTŽ pokrovom z fi 600 mm EN 124 B125, ter AB tipsko krovno ploščo C20/25. Pokrov izveden na zaklep z odprtinami za zračeneje. Mulda je izoblikovana iz poliestra v obliki koritnice. Prehod med poliestrom in AB vencem izveden preko profilne gume. (RJ1_S3, PRJ2_S3, RJ6_S3) OP: na jašek RJ6_S3 se vgradi pokrov D400.</t>
  </si>
  <si>
    <t xml:space="preserve">Dobava in vgradnja črpalnega jaška, DN 1400 mm, na kanalu PVC DN160 mm (vtok 2x DN160) in d63 (iztok tlačnega voda), globine do 4,50-5,00 m, kompletno z AB krovno ploščo C 20/25 ter odprtino za pokrov 800x800. Vgradi se pokrov s plinsko vzmetjo dimenzije 800x800 z zaklepom. Prehod med poliestrom in AB vencem izveden preko profilne gume. V jaški je porebno zagotoviti odprtino za zračenje in odprtino za dovod elektrike. Temelj jaška je betoniran na mestu z betonom C16/20, debelina plošče je 20 cm. Na temelj se postavi jašek iz poliestra, okrog jaška se izvede AB venec iz C16/20. </t>
  </si>
  <si>
    <t>Dobava in vgradnja opreme v jašku črpališča: 1x potopna črpalka za komunalno odpadno vodo Q=5l/s ustrezna montažna noga, nerjaveča veriga, nepovratni ventil, zaporni ventil, tlačni vod iz jeklenih nerjavnih cevi z vsemi potrebnimi loki, vstopna lestev iz nerjavečega jekla (Ves vijačni, konzolni in tesnilni material. Izvedba konzolnega in vijačnega materiala iz nerjavnega jekla v kvaliteti vsaj AISI 304  oz. z EU standardom primerljivi kvaliteti.). Vsa oprema za avtomatsko delovanje hišnega črpališča. Zagon in testiranje delovanja črpališča.</t>
  </si>
  <si>
    <t>kol</t>
  </si>
  <si>
    <t>Izdelava poliestrskega revizijskega jaška SN10, DN 1000 mm, na kanalu PVC DN160 mm, globine do 2,00-2,50 m, kompletno z AB vencem in obročem za okvir in pokrov, ter LTŽ pokrovom z fi 600 mm EN 124 B125 , ter AB tipsko krovno ploščo C20/25. Pokrov izveden na zaklep z odprtinami za zračeneje. Mulda je izoblikovana iz poliestra v obliki koritnice. Prehod med poliestrom in AB vencem izveden preko profilne gume. (RJ1_S5)</t>
  </si>
  <si>
    <t>1.2.13</t>
  </si>
  <si>
    <t>8.3</t>
  </si>
  <si>
    <t>Izdelava geodetskega posnetka</t>
  </si>
  <si>
    <t>(-) Proizvajalec se seznani z vsemi pogoji za delo (transport, omejitve kulturne dediščine) pred izvedbo del! Kasnejši zahtevki glede pogojev dela niso upravičeni.</t>
  </si>
  <si>
    <t>A.</t>
  </si>
  <si>
    <t>NN priključek</t>
  </si>
  <si>
    <t>A.1./</t>
  </si>
  <si>
    <t>GRADBENA DELA:</t>
  </si>
  <si>
    <t>Zakoličba kabelske trase, ozemljitev, omaric</t>
  </si>
  <si>
    <t>Strojni in ročni izkop v terenu III.ktg, izdelava betonskega temelja za prostostoječo omarico dimenzije 1,0×0,5m v globini 0,6m, dobava in izdelava podložnega betona debeline 20cm (glej prilogo), zasip kabelske omarice z komprimiranjem</t>
  </si>
  <si>
    <r>
      <t xml:space="preserve">Strojni in ročni izkop kabelskega jarka v zemljišču IV. kategorije, širine 0,31 m in globine 0,9 m, dobava in vgradnja peščene posteljice, dobava in položitev zaščitne cevi PVC 1x </t>
    </r>
    <r>
      <rPr>
        <sz val="9"/>
        <rFont val="Arial"/>
        <family val="2"/>
        <charset val="238"/>
      </rPr>
      <t xml:space="preserve">fi160mm, položitev ozemljitvenega valjanca, dobava in polaganje opozorilnega traku, zasip rova s komprimiranjem v plasteh po 20cmm </t>
    </r>
  </si>
  <si>
    <t xml:space="preserve">   4.</t>
  </si>
  <si>
    <t>Prevozi in transporti odvečnega materiala na stalno deponijo, plačilo takse na deponiji</t>
  </si>
  <si>
    <t>Čiščenje gradbišča</t>
  </si>
  <si>
    <t>Izdelava geodetskega posnetka za komunalni kataster in izvršilno dokumentacijo, dolžina do 1000m</t>
  </si>
  <si>
    <t>A.2.</t>
  </si>
  <si>
    <t>ELEKTROMONTAŽNA DELA:</t>
  </si>
  <si>
    <r>
      <t>Dobava in uvlačenje v kabelsko kanalizacijo tip NA2XY-J 4×70+1,5mm</t>
    </r>
    <r>
      <rPr>
        <vertAlign val="superscript"/>
        <sz val="9"/>
        <rFont val="Arial"/>
        <family val="2"/>
        <charset val="238"/>
      </rPr>
      <t>2</t>
    </r>
    <r>
      <rPr>
        <sz val="9"/>
        <rFont val="Arial"/>
        <family val="2"/>
        <charset val="238"/>
      </rPr>
      <t xml:space="preserve"> </t>
    </r>
  </si>
  <si>
    <t xml:space="preserve">Samokrčna kabelska glava za kabel 4×70 mm2, 1kV – zunjanja / notranja montaža (kot EPKT 0045 ali enakovredno) (v omarici in TP-ju) </t>
  </si>
  <si>
    <r>
      <t>Dobava in montaža kabelskih čevljev AlCu 70mm</t>
    </r>
    <r>
      <rPr>
        <vertAlign val="superscript"/>
        <sz val="9"/>
        <rFont val="Arial"/>
        <family val="2"/>
        <charset val="238"/>
      </rPr>
      <t>2</t>
    </r>
  </si>
  <si>
    <r>
      <t>Dobava vodnika H07V-K 1×35mm2, dolžine 2m, 2 kos kabelski čevelj Cu 35mm</t>
    </r>
    <r>
      <rPr>
        <vertAlign val="superscript"/>
        <sz val="9"/>
        <rFont val="Arial"/>
        <family val="2"/>
        <charset val="238"/>
      </rPr>
      <t>2</t>
    </r>
    <r>
      <rPr>
        <sz val="9"/>
        <rFont val="Arial"/>
        <family val="2"/>
        <charset val="238"/>
      </rPr>
      <t>, izvedba povezave FeZn in PEN zbiralnice v KPMO</t>
    </r>
  </si>
  <si>
    <r>
      <rPr>
        <b/>
        <sz val="10"/>
        <rFont val="Arial"/>
        <family val="2"/>
        <charset val="238"/>
      </rPr>
      <t>1 kos</t>
    </r>
    <r>
      <rPr>
        <sz val="10"/>
        <rFont val="Arial"/>
        <family val="2"/>
        <charset val="238"/>
      </rPr>
      <t xml:space="preserve"> montažna plošča</t>
    </r>
  </si>
  <si>
    <r>
      <rPr>
        <b/>
        <sz val="10"/>
        <rFont val="Arial"/>
        <family val="2"/>
        <charset val="238"/>
      </rPr>
      <t>3 kos</t>
    </r>
    <r>
      <rPr>
        <sz val="10"/>
        <rFont val="Arial"/>
        <family val="2"/>
        <charset val="238"/>
      </rPr>
      <t xml:space="preserve"> univerzalna števčna plošča (ETI)</t>
    </r>
  </si>
  <si>
    <r>
      <rPr>
        <b/>
        <sz val="10"/>
        <rFont val="Arial"/>
        <family val="2"/>
        <charset val="238"/>
      </rPr>
      <t xml:space="preserve">3 kpl </t>
    </r>
    <r>
      <rPr>
        <sz val="10"/>
        <rFont val="Arial"/>
        <family val="2"/>
        <charset val="238"/>
      </rPr>
      <t>nosilec zbiralnic 60mm</t>
    </r>
  </si>
  <si>
    <r>
      <rPr>
        <b/>
        <sz val="10"/>
        <rFont val="Arial"/>
        <family val="2"/>
        <charset val="238"/>
      </rPr>
      <t>3m</t>
    </r>
    <r>
      <rPr>
        <sz val="10"/>
        <rFont val="Arial"/>
        <family val="2"/>
        <charset val="238"/>
      </rPr>
      <t xml:space="preserve"> Cu zbiralnice 20×10mm</t>
    </r>
  </si>
  <si>
    <r>
      <rPr>
        <b/>
        <sz val="10"/>
        <rFont val="Arial"/>
        <family val="2"/>
        <charset val="238"/>
      </rPr>
      <t>3 kos</t>
    </r>
    <r>
      <rPr>
        <sz val="10"/>
        <rFont val="Arial"/>
        <family val="2"/>
        <charset val="238"/>
      </rPr>
      <t xml:space="preserve"> varovalčni ločilnik  VL00/3</t>
    </r>
  </si>
  <si>
    <r>
      <rPr>
        <b/>
        <sz val="10"/>
        <rFont val="Arial"/>
        <family val="2"/>
        <charset val="238"/>
      </rPr>
      <t>3 kos</t>
    </r>
    <r>
      <rPr>
        <sz val="10"/>
        <rFont val="Arial"/>
        <family val="2"/>
        <charset val="238"/>
      </rPr>
      <t xml:space="preserve"> talilni vložek NV00 50A</t>
    </r>
  </si>
  <si>
    <r>
      <rPr>
        <b/>
        <sz val="10"/>
        <rFont val="Arial"/>
        <family val="2"/>
        <charset val="238"/>
      </rPr>
      <t>3 kos</t>
    </r>
    <r>
      <rPr>
        <sz val="10"/>
        <rFont val="Arial"/>
        <family val="2"/>
        <charset val="238"/>
      </rPr>
      <t xml:space="preserve"> talilni vložek NV00 100A</t>
    </r>
  </si>
  <si>
    <r>
      <rPr>
        <b/>
        <sz val="10"/>
        <rFont val="Arial"/>
        <family val="2"/>
        <charset val="238"/>
      </rPr>
      <t>3 kos</t>
    </r>
    <r>
      <rPr>
        <sz val="10"/>
        <rFont val="Arial"/>
        <family val="2"/>
        <charset val="238"/>
      </rPr>
      <t xml:space="preserve"> odvodnik prenapetosti Protec B2SR; Imp=12,5kA</t>
    </r>
  </si>
  <si>
    <r>
      <rPr>
        <b/>
        <sz val="10"/>
        <rFont val="Arial"/>
        <family val="2"/>
        <charset val="238"/>
      </rPr>
      <t>1 kos</t>
    </r>
    <r>
      <rPr>
        <sz val="10"/>
        <rFont val="Arial"/>
        <family val="2"/>
        <charset val="238"/>
      </rPr>
      <t xml:space="preserve"> PEN zbiralnica Cu30x5x400mm z izolatorjema</t>
    </r>
  </si>
  <si>
    <r>
      <rPr>
        <b/>
        <sz val="10"/>
        <rFont val="Arial"/>
        <family val="2"/>
        <charset val="238"/>
      </rPr>
      <t>3 kos</t>
    </r>
    <r>
      <rPr>
        <sz val="10"/>
        <rFont val="Arial"/>
        <family val="2"/>
        <charset val="238"/>
      </rPr>
      <t xml:space="preserve"> okno (makrolon)</t>
    </r>
  </si>
  <si>
    <r>
      <rPr>
        <b/>
        <sz val="10"/>
        <rFont val="Arial"/>
        <family val="2"/>
        <charset val="238"/>
      </rPr>
      <t>1 kos</t>
    </r>
    <r>
      <rPr>
        <sz val="10"/>
        <rFont val="Arial"/>
        <family val="2"/>
        <charset val="238"/>
      </rPr>
      <t xml:space="preserve"> PVC predal A4 za sheme</t>
    </r>
  </si>
  <si>
    <r>
      <rPr>
        <b/>
        <sz val="10"/>
        <rFont val="Arial"/>
        <family val="2"/>
        <charset val="238"/>
      </rPr>
      <t>1 kos</t>
    </r>
    <r>
      <rPr>
        <sz val="10"/>
        <rFont val="Arial"/>
        <family val="2"/>
        <charset val="238"/>
      </rPr>
      <t xml:space="preserve"> hitro snemljiva zaščita zbiralnic (pleksi dim. 14×50cm)</t>
    </r>
  </si>
  <si>
    <r>
      <rPr>
        <b/>
        <sz val="10"/>
        <rFont val="Arial"/>
        <family val="2"/>
        <charset val="238"/>
      </rPr>
      <t>1 kos</t>
    </r>
    <r>
      <rPr>
        <sz val="10"/>
        <rFont val="Arial"/>
        <family val="2"/>
        <charset val="238"/>
      </rPr>
      <t xml:space="preserve"> prekritje oz. zaščita zbiralnic (pleksi dim. 20×30cm)</t>
    </r>
  </si>
  <si>
    <r>
      <rPr>
        <b/>
        <sz val="10"/>
        <rFont val="Arial"/>
        <family val="2"/>
        <charset val="238"/>
      </rPr>
      <t>2 kos</t>
    </r>
    <r>
      <rPr>
        <sz val="10"/>
        <rFont val="Arial"/>
        <family val="2"/>
        <charset val="238"/>
      </rPr>
      <t xml:space="preserve"> tritočkovni zapah za na vrata omarice</t>
    </r>
  </si>
  <si>
    <r>
      <rPr>
        <b/>
        <sz val="10"/>
        <rFont val="Arial"/>
        <family val="2"/>
        <charset val="238"/>
      </rPr>
      <t>1 kos</t>
    </r>
    <r>
      <rPr>
        <sz val="10"/>
        <rFont val="Arial"/>
        <family val="2"/>
        <charset val="238"/>
      </rPr>
      <t xml:space="preserve"> tipska ključavnica El.Primorska</t>
    </r>
  </si>
  <si>
    <r>
      <rPr>
        <b/>
        <sz val="10"/>
        <rFont val="Arial"/>
        <family val="2"/>
        <charset val="238"/>
      </rPr>
      <t xml:space="preserve">1 kpl </t>
    </r>
    <r>
      <rPr>
        <sz val="10"/>
        <rFont val="Arial"/>
        <family val="2"/>
        <charset val="238"/>
      </rPr>
      <t>drobni material (uvodnice, kabelska objemka, kabli za notranjo povezavo,…)</t>
    </r>
  </si>
  <si>
    <t>Ureditev merilnega mesta</t>
  </si>
  <si>
    <t>Dobava ozemljitvenega valjanca FeZn 25×4mm</t>
  </si>
  <si>
    <t>Priklop NN priključnega kabla v obstoječi  NN razdelilec v TP  (Upoštevati manjše predelave in priklop kabla na obstoječa podnožja)</t>
  </si>
  <si>
    <t>Dobava križnih sponk za ozemljitveni valjanec, montaža sponk in zaščita z bitumnom</t>
  </si>
  <si>
    <t>A.3.</t>
  </si>
  <si>
    <t>OSTALI STROŠKI</t>
  </si>
  <si>
    <t>Nadzor pri gradnji priključka s strani Elektro Primorska d.d.</t>
  </si>
  <si>
    <t>Obveščanje o izklopu in delih na elektro omrežju</t>
  </si>
  <si>
    <t>Drobni nespecificirani material, nepredvidena dodatna dela, transportni in manipulativni stroški, meritve, funkcionalni preizkus vseh tokokrogov in delovanja zaščitnih sistemov</t>
  </si>
  <si>
    <t>%</t>
  </si>
  <si>
    <t>Skupaj NN priključni vod (brez DDV)</t>
  </si>
  <si>
    <t>B.</t>
  </si>
  <si>
    <t>B.1</t>
  </si>
  <si>
    <t>B.2</t>
  </si>
  <si>
    <t>Dobava materiala in izdelava cevne kabelske kanalizacije preseka 1x iz PVC cevi 110mm, izkop v zem. III. - IV. Ktg., v povozni površini, širina kanala 0,31m, globina kanala 0,81m, zaščita cevi z peskom, zasip kanala z tamponom z utrditvijo, nakladanje viška materiala in odvoz na deponijo, čiščenje trase</t>
  </si>
  <si>
    <t>Dobava materiala in izdelava cevne kabelske kanalizacije preseka 2x iz PVC cevi 110mm, strojni izkop v zem. III. - IV. Ktg., v povozni površini, širina kanala 0,45m, globina kanala 0,81m, zaščita cevi z peskom, zasip kanala z tamponom z utrditvijo, nakladanje viška materiala in odvoz na deponijo, čiščenje trase</t>
  </si>
  <si>
    <t>Dobava materiala in izdelava cevne kabelske kanalizacije preseka 3x iz PVC cevi 110mm, strojni izkop v zem. III. - IV. Ktg., v povozni površini, širina kanala 0,59m, globina kanala 0,81m, zaščita cevi z peskom, zasip kanala z tamponom z utrditvijo, nakladanje viška materiala in odvoz na deponijo, čiščenje trase</t>
  </si>
  <si>
    <t>Izdelava kabelskega jaška dim. BC Ø100mm, strojni izkop v zemljišču III-IV. kategorije, jašek opremljen z LTŽ pokrovom 60×60cm, 250kN z napisom ELEKTRIKA, nakladanje in odvoz materiala, čiščenje terena. Višina cevi je 1m.</t>
  </si>
  <si>
    <t>Izdelava kabelskega jaška dim. BC Ø100mm, strojni izkop v zemljišču III-IV. kategorije, jašek opremljen s povoznim betonom polnjenim pokrovom 60×60cm in ustrezno hidravliko za odpiranje, 250kN z napisom ELEKTRIKA, nakladanje in odvoz materiala, čiščenje terena. Višina cevi je 1m.</t>
  </si>
  <si>
    <t>Izdelava kabelskega jaška dim. BC Ø60mm, strojni izkop v zemljišču III-IV. kategorije, jašek opremljen z LTŽ pokrovom 40×40cm, 125kN z napisom ELEKTRIKA, nakladanje in odvoz materiala, čiščenje terena. Višina cevi je 1m.</t>
  </si>
  <si>
    <t>Polaganje  temeljev v teren globine 0,8m  (za RZR), z temeljem,  komplet.</t>
  </si>
  <si>
    <t>Polaganje  temeljev v teren globine 0,8m (za zunanje razvodne omarice), z temeljem,  komplet.</t>
  </si>
  <si>
    <t>11.</t>
  </si>
  <si>
    <t>12.</t>
  </si>
  <si>
    <t>13.</t>
  </si>
  <si>
    <t>B.3</t>
  </si>
  <si>
    <t>Oprema za krmiljenje zunanjih vrat, ki se montira v dozo pri vratih ini obsega dobavo in montažo:</t>
  </si>
  <si>
    <t>1 kos - instalacijski odklopnik C6/1, 1p., 6A</t>
  </si>
  <si>
    <t>1 kos - Napajalnik industrijski 230/12V; 2A; 24W, montaža na DIN letev</t>
  </si>
  <si>
    <t>1 kpl -  droben, vezni in spojni material</t>
  </si>
  <si>
    <t>1 kos - el. ključavnica 12V za VRATA-BASIC + KO ni pod napetostjo ko so vrata odprta + ko je pod napetostjo so vrata odprta, komplet z dobavo in montažo</t>
  </si>
  <si>
    <t>Drobni in vezni matrial (spojke, sponke, rychem spoji, …, komplet z vgradnjo)</t>
  </si>
  <si>
    <t xml:space="preserve">NA2XY-J 4x35mm² </t>
  </si>
  <si>
    <t>N2XY-J 3 x 1,5 mm2</t>
  </si>
  <si>
    <t>N2XY-J 3 x 2,5 mm2</t>
  </si>
  <si>
    <t>N2XY-J 3 x 4 mm2</t>
  </si>
  <si>
    <t>N2XY-J 5 x 4 mm2</t>
  </si>
  <si>
    <t>N2XY-J 5 x 6 mm2</t>
  </si>
  <si>
    <t>N2XY-J 5 x 10 mm2</t>
  </si>
  <si>
    <t>H07V-K 1 x 6 mm2</t>
  </si>
  <si>
    <t>H07V-K 1 x 10 mm2</t>
  </si>
  <si>
    <t>H07V-K 1 x 16 mm2</t>
  </si>
  <si>
    <t>Dobava in montaža kabelskih čevljev</t>
  </si>
  <si>
    <t>AlCu 16mm2</t>
  </si>
  <si>
    <t>AlCu 35mm2</t>
  </si>
  <si>
    <t>AlCu 70mm2</t>
  </si>
  <si>
    <t>UPRAVLJALEC ZUNANJE RAZSVETLJAVE PZR:</t>
  </si>
  <si>
    <t>1 - bremensko ločilno stikalo 63A, 3(4) polno</t>
  </si>
  <si>
    <t>4 - instalacijski odklopnik C16/3, 3p, 16A</t>
  </si>
  <si>
    <t>4 - varovalčni ločilnik NV00I/komplet z vložki</t>
  </si>
  <si>
    <t>5 - instalacijski odklopnik C16/1, 1p., 16A</t>
  </si>
  <si>
    <t>3 - varovalčni ločilnik TYTAN II/komplet z vložki</t>
  </si>
  <si>
    <t>2 - instalacijski odklopnik C16/1, 1p, 16A</t>
  </si>
  <si>
    <t>4 - instalacijski odklopnik B10/1, 1p, 10A</t>
  </si>
  <si>
    <t>1 - pomožni rele - 10A</t>
  </si>
  <si>
    <t>VTIČNIŠKE OMARICE</t>
  </si>
  <si>
    <r>
      <t xml:space="preserve">Dobava in montaža </t>
    </r>
    <r>
      <rPr>
        <b/>
        <sz val="10"/>
        <rFont val="Arial"/>
        <family val="2"/>
        <charset val="238"/>
      </rPr>
      <t>potopne</t>
    </r>
    <r>
      <rPr>
        <sz val="10"/>
        <rFont val="Arial"/>
        <family val="2"/>
        <charset val="238"/>
      </rPr>
      <t xml:space="preserve"> vtičniške omarice - ročni izvlek, IP67, s pokrovom, z montiranimi EURO vtičnicami 2x32A ter 4x16A, komplet z varovalnimi elementi 2xC32A in 4xC16A; dobvitelj Prelog d.o.o ali enakovredno</t>
    </r>
  </si>
  <si>
    <t>VI.</t>
  </si>
  <si>
    <t>OZEMLJITVE</t>
  </si>
  <si>
    <t>B.4</t>
  </si>
  <si>
    <t>B.5</t>
  </si>
  <si>
    <t>DEMONTAŽNA DELA</t>
  </si>
  <si>
    <t>Demontaža obstoječih lesenih, koinskih in betonskih drogov različnih višin (6-9m), komlet s temelji. Na drogovih se nahajajo nadzemni izolirani kabli, ki se jih predhodno demontira</t>
  </si>
  <si>
    <t>Demontaža obstoječih nazemnih kablovodov (SKS, TK vodi,…)</t>
  </si>
  <si>
    <t>Ododz na deponijo s predložitvijo ustreznih listin o pravilnem deponiranju</t>
  </si>
  <si>
    <t>B.6</t>
  </si>
  <si>
    <t>Pregled in preizkus zunanje razsvetljave</t>
  </si>
  <si>
    <t>C.</t>
  </si>
  <si>
    <t>Dobava in ročno vgrajevanje betona C8/10 MB10 kanal pri prehodih cevi preko povoznih površin, nakladanje in odvoz izkopanega  materiala III-IV ktg.zaradi vgradnje betona in razlika med vgraditvijo betona in zasipom z utrditvijo</t>
  </si>
  <si>
    <t>I. TK KABELSKA KANALIZACIJA</t>
  </si>
  <si>
    <t>D.</t>
  </si>
  <si>
    <t>Snemalni NVR strežnik, Windows 10 PRO, širitev do 48 kamer, arhiv 8TB, 19" rack ohišje, kpl. z miško, tipkovnico</t>
  </si>
  <si>
    <t>Programska oprema Luxriot EVO S, GDPR ready,omogoča nadzor/snemanje do 24 kamer, licenčno omogoča neomejeno št. client nadzornih mest</t>
  </si>
  <si>
    <t>Kamera 8Mpix kompaktna stenska z IR v aluminium ohišju max. 30fps@8M, 3840x2160, vgrajen moto-zoom objektiv 2.8-9.8mm, H265, zipstream, IP 67, 12 VDC, PoE, video analitika</t>
  </si>
  <si>
    <t>mrežna switch enota, unmanaged, 4 x PoE port 10/100. 1 x 1000Mbit</t>
  </si>
  <si>
    <t>Za povezavo kamere , access pointa se na lokacijah predvidi stikalo Planet IGS-4215-4P4T2S, ki skrbi tudi za napajanje kamere. Omrežno stikalo omogoča dodatno komunikacijo sistema za napajanje, stikalo se vgradi  v priključno omarico (upoštevati tudi priključno omarico)</t>
  </si>
  <si>
    <t>Dobava in montaža kandelabra vročecinkanega višine 5m nad terenom, komplet s temeljem za montažo kamere</t>
  </si>
  <si>
    <t>NN PRIKLJUČEK</t>
  </si>
  <si>
    <t>ELEKTRO NN + ZR</t>
  </si>
  <si>
    <t>TK</t>
  </si>
  <si>
    <t>9.4</t>
  </si>
  <si>
    <t>Betoniranje AB plošče razgledišča iz betona C 25/30 s finalno obdelavo opisano v načrtu krajinske arhitekture.</t>
  </si>
  <si>
    <t>3.6.27</t>
  </si>
  <si>
    <t>Izdelava podesta po navodilih projektanta iz pocinkanih in barvanih škatlastih profilov (stebri 120/60/5mm, podesti 100/60/4mm) vključno z vsemi pritrdilnimi deli, varjenjem in drobnim materialom. Detajl vpetja v temelj iz jeklene ploščice (250/200/8), vpetje s 4 navojnimi palicami M16/150 na ploščico, sidrano s hibridno kemično maso kot npr. HILTI HIT-HY 200-R - glej detajl. Obračun po dejanski porabi železa.</t>
  </si>
  <si>
    <t>Izdelava podkonstrukcije:
- 6 x vzdolžni nosilec HEA 160 (Jeklo S235 J2)
(dolžine 2 x 2380 mm + 2 x 4042 mm + 2 x 1995 mm), rezani, varjen po detajlu, skupaj z vsem pritrdilnim materialom, sidri (HSA M 16x145) in pritrdilnimi ploščicami</t>
  </si>
  <si>
    <t>3.2.26</t>
  </si>
  <si>
    <t>Dobava, nabava in vgradnja vstopne lestve v strojnico (po detajlu projektanta), višina lestve 220 cm iz RF jekla AISI 304/1.4.301. Skupaj z vsem pritrdilnim materialom (sidrne ploščice po detajlu), vijaki (M 8x120) in ostalim drobnim materialom</t>
  </si>
  <si>
    <t>Dobava, nabava in montaža podnožja AB klopi po detajlu arhitekta (konzolna klop, klop - VILA). Klop sestavljena iz betonskega podstavka (dimenzije 2,5m/0,673m/0,40m). Vse po detajlu arhitekta. Skupaj z vsemi deli (izkop, vgradnja tampona v debelini 20cm, podložnega betona 10cm, zasutjem in utrjevanjem). Betonski prefabrikat -pigmentiran beton z vmešanim agregatom iz porfirja, ob strani pobrani robovi, na vseh vidnih stranicah grobo brušen). Sestava agregata in pigment po izboru in potrditvi vzorca s strani projektanta! (beton C30/37, XC4, XF4, armatura S500, palice fi do vklj. 12mm, poraba cca 50kg/klop - izdelava po armaturnem načrtu)</t>
  </si>
  <si>
    <t>Izdelava pergole po navodilih projektanta iz vroče cinkanih in prašno barvanih L profilov  (40/40/3mm), vključno z vsemi pritrdilnimi deli in drobnim materialom. Obračun po dejanski porabi železa.</t>
  </si>
  <si>
    <t>Izdelava podesta in profilov ograj po navodilih projektanta iz pocinkanih in barvanih pravokotnih profilov  (100/60/4mm), L profilov (50/50/5), L profilov (40/40/5)) vključno z vsemi pritrdilnimi deli, varjenjem in drobnim materialom. Detajl vpetja v temelj iz jeklene ploščice (200/200/8), vpetje s 4 navojnimi palicami M16/150 na ploščico, sidrano s hibridno kemično maso kot npr. HILTI HIT-HY 200-R - glej detajl. Obračun po dejanski porabi železa.</t>
  </si>
  <si>
    <t>Dobava in vgradnja novih LTŽ pokrovov obstoječih jaškov meteorne kanalizacije. Vključena tudi prilagoditev pokrova na novo višino (na novo ureditev), vključno z vsem potrebnimi deli in materialom.</t>
  </si>
  <si>
    <t>Dobava in vgradnja LTŽ pokrova fi 60 cm za dostop v strojnico. Vključno z vsemi potrebnimi deli in materiali.</t>
  </si>
  <si>
    <t>Dobava in vgradnja novih pokrovov obstoječih jaškov meteorne kanalizacije, jašek se opremi s povoznim betonom polnjenim pokrovom 60×60cm in ustrezno hidravliko za odpiranje. Vključena tudi prilagoditev pokrova na novo višino (na novo ureditev), vključno z vsem potrebnimi deli in materialom.</t>
  </si>
  <si>
    <t>Izdelava kabelskega jaška dim. BC Ø60mm v povozni površini, strojni izkop v zemljišču III-IV. kategorije, jašek opremljen s povoznim betonom polnjenim pokrovom 60×60cm in ustrezno hidravliko za odpiranje, 250kN z napisom TELEKOM, nakladanje in odvoz materiala, čiščenje terena. Višina cevi je 1m.</t>
  </si>
  <si>
    <t xml:space="preserve">*Pred fizično obnovo je treba izvesti gradbene raziskave za potrebe sanacije avtentičnih elementov v parku (ohranjene mulde, bankine, jarki ali njihovi deli, stopnice proti Laščakovi vili, kalup, elementi v zidcu). Pred sanacijskimi deli betona je treba izvesti preizkusno metodo čiščenja (betonskih elementov), ki jo potrdi ZVKDS. Ocena restavratorskih del je okvirna, saj zaradi zaraščenosti območja ni mogoče natančno pregledati elemente. Točen popis restavratorsko-konservatorskih del se bo izdelalo naknadno, ob začetku gradbenih del. Šele ko se bo območje počistilo bo možno preveriti dejansko stanje vrtno-arhitekturnih elementov in se bo lahko dokumentiralo obstoječe stanje. Takrat se bodo na osnovi dogovora z odgovornim konservatorjem točno določili elementi za rekonstrukcijo. Na licu mesta se bodo podale natančnejše usmeritve za sanacijo ter proučilo sestavo in barvo betona s katerim se bodo izvedla sanacija na opornih in podpornih zidovih. Posamezni dekorativni betonski prefabrikati se bodo v času gradbenih del v parku odpeljali v restavratorski atelje, kjer bodo sanirani v skladu z navodili pristojne strokovne službe ZVKDS OE Nova Gorica. </t>
  </si>
  <si>
    <t>… Tehnologija del naj bo prilagojena historičnemu pomenu kompleksa Laščakove vile s parkom.</t>
  </si>
  <si>
    <t>1.1.13</t>
  </si>
  <si>
    <t>Odstranitev in odklop plinskega zalogovnika za vilo. Blindiranje in odstranitev  zalogovnika, vseh pritrdilnih elementov in temelja. Skupaj z vsemi deli (demontaža, prevoz na deponijo in deponiranje). Skladno z navodili nadzora oziroma upravljalca plinovoda (če se izkaže potreba)</t>
  </si>
  <si>
    <t>1.1.14</t>
  </si>
  <si>
    <t>Čiščenje nanosov iz obstoječih prepustov na potoku ter kontrola stabilnosti konstrukcij in reprofiliranje struge v neposredni okolici prepusta (2 metra gorvodno in 2m dolvodno). Skupaj z vsemi deli (odstranitev, odvoz odvečnega materiala, plačilo deponijskih taks)</t>
  </si>
  <si>
    <t>1.1.15</t>
  </si>
  <si>
    <t>Reprofiliranje struge v območju kjer se odstranjuje bambusov nasad. Skupaj z vsemi deli (reprofiliranje, odstranitev, odvoz odvečnega materiala, plačilo deponijskih taks). Struga širine do 5m, cena vključuje reprofiliranje obeh strani struge.</t>
  </si>
  <si>
    <t>03.5</t>
  </si>
  <si>
    <t xml:space="preserve">Dobava, nabava in vgradnja litega, ob straneh opaženega pigmentiranega betona z vmešanim agregatom iz porfirja (detajl polaganja- glej list: 5.2), skupaj z vsemi potrebnimi opaži in pripravo podlage. Liti beton mora biti izveden tako, da bo prestal test drsnosti (testiranje vključeno v tujih delih). Debelina betona 20cm. Vse po navodilih arhitekta. Izvede se diletacija v ustrezni razdalji.
</t>
  </si>
  <si>
    <t>(-)Na dveh območjih vkopa vodovoda in elektro voda pod strugo potoka je utrditev struge vodotoka zajeta v enoti ceni zemeljskih del.</t>
  </si>
  <si>
    <t>(-)V ponudbeni ceni  je potrebno zajeti  ves potreben material in delo vključno z vsemi transporti, pomožnimi deli  in potrebnimi ukrepi za zagotavljanje varnega dela delavcev  in okolice, ki so potrebna za izvedbo del po posamezni postavki. Utrditev potoka s kamnito zložbo iz kamnov debeline 40 – 50 cm. Fuge zapolniti z zaglinjeno zemljino. Širina utrditve enaka širini izkopa v območju vodotoka</t>
  </si>
  <si>
    <t>3.2.27</t>
  </si>
  <si>
    <t>Nadzor pri gradnji kanala pristojnih služb ostalih komunalnih vodov na območju: elektro, PTT, plinovod, vodovod, javna razsvetljava.
Obračun po dejanskih stroških.</t>
  </si>
  <si>
    <t>6.3.243</t>
  </si>
  <si>
    <t>Dobava peska frakcije 8-16 mm in izdelava temeljne plasti posteljice deb. 10 cm, s planiranjem in strojnim utrjevanjem do 95 % po standardnem Prokterjevem postopku. Natančnost izdelave posteljice je +/- 1 cm.
Obračun za 1 m3.</t>
  </si>
  <si>
    <t>OPOMBA: Na povoznih površinah dostopne poti se vgradi pokrove D400. V raščenem terenu se vgradi LTŽ pokrove B125.</t>
  </si>
  <si>
    <t>OPOMBA: Na povoznih površinah dostopne poti se vgradi  pokrove D400. V raščenem terenu se vgradi LTŽ pokrove B125.</t>
  </si>
  <si>
    <t>Izven območja DUO/NERUO</t>
  </si>
  <si>
    <t>Skupaj PZI</t>
  </si>
  <si>
    <t>izven območja DUO/NERUO</t>
  </si>
  <si>
    <t>izven 
območja DUO NERUO</t>
  </si>
  <si>
    <t>skupna cena (izven območja DUO, NERUO)</t>
  </si>
  <si>
    <t xml:space="preserve">Ograja okoli parka </t>
  </si>
  <si>
    <t>Ograja okoli parka (pletena žičnata ograja)</t>
  </si>
  <si>
    <t>4.1.18.1</t>
  </si>
  <si>
    <t>Alu mrežna pletena ograja 20/0 vključno s konstrukcijo (stojkami) iz okroglih profilov; stojke sidrane v linijski temelj.</t>
  </si>
  <si>
    <t>Vegetacija - sanacijsko vzdrževanje</t>
  </si>
  <si>
    <t>POPIS DEL - Vegetacija - sanacijsko vzdrževanje</t>
  </si>
  <si>
    <t>Sanacijsko vzdrževalna dela na drevesih, visokih grmovnicah in palmah</t>
  </si>
  <si>
    <t>Skupaj vegetacija - sanacijsko vzdrževanje:</t>
  </si>
  <si>
    <t>v območju 
DUO NERUO
neupravičeni stroški</t>
  </si>
  <si>
    <t>v območju 
DUO NERUO
upravičeni stroški</t>
  </si>
  <si>
    <t>območje DUO/NERUO (upravičeni stroški)</t>
  </si>
  <si>
    <t>območje DUO/NERUO (neupravičeni stroški)</t>
  </si>
  <si>
    <t>izven območja DUO/NERUO (neupravičeni stroški)</t>
  </si>
  <si>
    <t>Vrednost brez DDV
območje DUO/NERUO (neupravičeni stroški)</t>
  </si>
  <si>
    <t>Vrednost brez DDV
območje DUO/NERUO (upravičeni stroški)</t>
  </si>
  <si>
    <t xml:space="preserve">SKUPAJ
v območju 
DUO NERUO
neupravičeni stroški
</t>
  </si>
  <si>
    <t>SKUPAJ
v območju 
DUO NERUO
upravičeni stroški</t>
  </si>
  <si>
    <t>Izvedba križanja z vodotokom; upoštevati podboj pod vodotokom  z dobavo in montažo alkaten cevi 2xfi 110 mm (širina vodotoka do 1 m)</t>
  </si>
  <si>
    <t xml:space="preserve">VTIČNIŠKE OMARICE </t>
  </si>
  <si>
    <t>4.1.15.b</t>
  </si>
  <si>
    <t>4.1.15.c</t>
  </si>
  <si>
    <t>Betoniranje pasovnih temeljev ograje parka  30 x 160 cm iz betona C 25/30.</t>
  </si>
  <si>
    <t xml:space="preserve">Betoniranje pasovnih temeljev ograje parka  30 x 160 cm iz betona C 25/30. </t>
  </si>
  <si>
    <t>Pod temelji se v primeru pojavljanja večjih debelin gline v teren zabije železne traverze dolžine 3 m (na 5 m) - ocena</t>
  </si>
  <si>
    <t>V kolikor se na območju pojavi glinena podlaga, naj se glede na izvedene geološke raziskave ograje na položnih oz. ravninskih delih terena izvedejo z min. globino 70 cm v rjavo zbito glino.
Temeljenje naj pred izvedbo potrdi geomehanik!</t>
  </si>
  <si>
    <t>4.1.16.a</t>
  </si>
  <si>
    <t>4.1.16.b</t>
  </si>
  <si>
    <t>4.1.13.a</t>
  </si>
  <si>
    <t>Zemeljska dela za izvedbo ograj</t>
  </si>
  <si>
    <t>4.1.13.b</t>
  </si>
  <si>
    <t xml:space="preserve">Izkop v zemljini III.-IV. Katergorije </t>
  </si>
  <si>
    <t xml:space="preserve">Glede na izvedene geološke raziskave naj se pri izvedbi ograje na pobočju z naklonom več ali enako 15° zagotovi minimalno globino temeljenja 1 ,5 m oz. temeljenje v flišno kamninsko podlago, na strmejših delih pobočja z naklonom več ali enako 25° pa naj se v primeru pojavljanja večjih debelin gline predvidi tudi izvedbo zabijanja železnih traverz pod temelji, predvidene dolžine ca 3 m.
Temeljenje naj pred izvedbo potrdi geomehanik! Ograja se izvaja na težko dostopnem terenu.
</t>
  </si>
  <si>
    <t>4.1.13.c</t>
  </si>
  <si>
    <t>Zasip z izkopanim materialom</t>
  </si>
  <si>
    <t>4.1.13.d</t>
  </si>
  <si>
    <t>Odvoz odvečnega izkopa na stalno deponijo s plačilom deponijske takse - količina v raščenem stanju</t>
  </si>
  <si>
    <t>4.1.21.a</t>
  </si>
  <si>
    <t>4.1.21.b</t>
  </si>
  <si>
    <t>4.1.21.c</t>
  </si>
  <si>
    <t>4.1.21.d</t>
  </si>
  <si>
    <t>4.1.21.e</t>
  </si>
  <si>
    <t>Zemeljska dela za izvedbo konstrukcije</t>
  </si>
  <si>
    <t xml:space="preserve">V ceni vseh postavk je zajeti dobavo in postavitev opreme, z vsemi spremljajočimi gradbenimi deli (izkopi, zasipi, temelji, ureditev površin…) </t>
  </si>
  <si>
    <r>
      <t xml:space="preserve">T/ </t>
    </r>
    <r>
      <rPr>
        <sz val="10.5"/>
        <rFont val="Segeoe UI"/>
        <charset val="238"/>
      </rPr>
      <t>+386 1 360 24 00</t>
    </r>
  </si>
  <si>
    <r>
      <t xml:space="preserve">F/ </t>
    </r>
    <r>
      <rPr>
        <sz val="10.5"/>
        <rFont val="Segeoe UI"/>
        <charset val="238"/>
      </rPr>
      <t>+386 1 360 24 01</t>
    </r>
  </si>
  <si>
    <r>
      <t xml:space="preserve">E/ </t>
    </r>
    <r>
      <rPr>
        <sz val="10.5"/>
        <rFont val="Segeoe UI"/>
        <charset val="238"/>
      </rPr>
      <t>info@luz.si</t>
    </r>
  </si>
  <si>
    <r>
      <t>m</t>
    </r>
    <r>
      <rPr>
        <vertAlign val="superscript"/>
        <sz val="10"/>
        <rFont val="Segoe UI"/>
        <family val="2"/>
        <charset val="238"/>
      </rPr>
      <t>3</t>
    </r>
  </si>
  <si>
    <r>
      <t>m</t>
    </r>
    <r>
      <rPr>
        <vertAlign val="superscript"/>
        <sz val="10"/>
        <rFont val="Segoe UI"/>
        <family val="2"/>
        <charset val="238"/>
      </rPr>
      <t>2</t>
    </r>
  </si>
  <si>
    <r>
      <t>m</t>
    </r>
    <r>
      <rPr>
        <vertAlign val="superscript"/>
        <sz val="10"/>
        <rFont val="Segoe UI"/>
        <family val="2"/>
        <charset val="238"/>
      </rPr>
      <t>1</t>
    </r>
  </si>
  <si>
    <r>
      <t xml:space="preserve">Dobava polaganje in vezanje armature do </t>
    </r>
    <r>
      <rPr>
        <sz val="11"/>
        <rFont val="Symbol"/>
        <family val="1"/>
        <charset val="2"/>
      </rPr>
      <t>f</t>
    </r>
    <r>
      <rPr>
        <sz val="11"/>
        <rFont val="Calibri"/>
        <family val="2"/>
        <charset val="238"/>
        <scheme val="minor"/>
      </rPr>
      <t xml:space="preserve"> 12 S 500</t>
    </r>
  </si>
  <si>
    <r>
      <t xml:space="preserve">Dobava polaganje in vezanje armature nad </t>
    </r>
    <r>
      <rPr>
        <sz val="11"/>
        <rFont val="Symbol"/>
        <family val="1"/>
        <charset val="2"/>
      </rPr>
      <t>f</t>
    </r>
    <r>
      <rPr>
        <sz val="11"/>
        <rFont val="Calibri"/>
        <family val="2"/>
        <charset val="238"/>
        <scheme val="minor"/>
      </rPr>
      <t xml:space="preserve"> 14 S 500</t>
    </r>
  </si>
  <si>
    <t>Dobava, nabava in montaža ograje iz pocinkanih in barvanih profilov L (40/40/5mm). Skupaj s temelji iz betona C25/30 velikosti 40/40/50-60 cm, temelji na 2 tekoča metra. (temelj na podložnem betonu C8/10, skupaj z opažem in armaturo (9 kg/temelj). Ograja izdelana po detajlu arhitekta. Skupaj z vsemi deli in vsem potrebnim materialom. Vključno s potrebnim izkopom in zasipom.  Svetla višina ograje 1m.</t>
  </si>
  <si>
    <t>Dobava, nabava in montaža ograje iz panelov iz ekspandirane pločevine (ekspandirana pločevina, rezana pod kotom (paralelogram), vertikalna okenca »karo« 98x48, debelina oz. višina ekspandirane pločevine 3,5mm, propustnost 88%), skupaj z okvirjem iz pocinkanih in barvanih profilov L (40/40/5mm). Skupaj s temelji iz betona C25/30 velikosti 40/40/50-60 cm, temelji na 2 tekoča metra. (temelj na podložnem betonu C8/10, skupaj z opažem in armaturo (9 kg/temelj). Lokacija temelja po situacijskem prikazu. Ograja izdelana po detajlu arhitekta. Skupaj z vsemi deli in vsem potrebnim materialom. Vključno s potrebnim izkopom in zasipom.  Svetla višina ograje 1m.</t>
  </si>
  <si>
    <t>Dobava, nabava in montaža ograje iz panelov iz ekspandirane pločevine (ekspandirana pločevina, rezana pod kotom (paralelogram), vertikalna okenca »karo« 98x48, debelina oz. višina ekspandirane pločevine 3,5mm, propustnost 88%), skupaj z okvirjem iz pocinkanih in barvanih profilov L (40/40/5mm). Skupaj s temelji iz betona C25/30 velikosti 40/40/50-60 cm, temelji na 2 tekoča metra. (temelj na podložnem betonu C8/10, skupaj z opažem in armaturo (9 kg/temelj). Ograja izdelana po detajlu arhitekta. Skupaj z vsemi deli in vsem potrebnim materialom. Vključno s potrebnim izkopom in zasipom.  Svetla višina ograje 1m.</t>
  </si>
  <si>
    <t>Dobava, nabava in montaža ograje iz panelov iz ekspandirane pločevine (ekspandirana pločevina, rezana pod kotom (paralelogram), vertikalna okenca »karo« 98x48, debelina oz. višina ekspandirane pločevine 3,5mm, propustnost 88%), skupaj z okvirjem iz pocinkanih in barvanih profilov L (40/40/5mm). Skupaj s temelji iz betona C25/30 velikosti 40/40/50-60 cm, temelji na 2 tekoča metra. (temelj na podložnem betonu C8/10, skupaj z opažem in armaturo (9 kg/temelj); na območju mostičkov se ograja sidra v obstoječo podlago (namesto temelja ima stebriček sidrno ploščo z vijaki). Pri sidranju v obstoječo podlago je potreben nadzor projektanta! Ograja izdelana po detajlu arhitekta. Skupaj z vsemi deli in vsem potrebnim materialom. Vključno s potrebnim izkopom in zasipom.  Svetla višina ograje 1m.</t>
  </si>
  <si>
    <t>4.1.15.a</t>
  </si>
  <si>
    <t>Betoniranje pasovnih temeljev ograje parka  30 x 80 cm iz betona C 25/30.</t>
  </si>
  <si>
    <t xml:space="preserve">Dvostranski opaž nevidnega dela pasovnih temeljev ograje parka </t>
  </si>
  <si>
    <t xml:space="preserve">Dvostranski opaž vidnega dela pasovnih temeljev ograje parka </t>
  </si>
  <si>
    <r>
      <t xml:space="preserve">Dobava polaganje in vezanje armature do </t>
    </r>
    <r>
      <rPr>
        <sz val="10"/>
        <rFont val="Symbol"/>
        <family val="1"/>
        <charset val="2"/>
      </rPr>
      <t>f</t>
    </r>
    <r>
      <rPr>
        <sz val="10"/>
        <rFont val="Calibri"/>
        <family val="2"/>
        <charset val="238"/>
        <scheme val="minor"/>
      </rPr>
      <t xml:space="preserve"> 12 S 500 </t>
    </r>
  </si>
  <si>
    <t>Konstrukcija za popenjalko: Izdelava 14,71 m dolge, 2,5 m visoke konstrukcije iz pocinkanih in barvanih škatlastih profilov 40/60/4 mm (skupna dolžina profilov 46,2 m - 9 stebrov in horizontalna povezava). Med profili se vijači mrežica iz ekspandirane pločevine, bigana in vijačena v nosilec izmenično spredaj/zadaj (karo okenca horizontalna x vertikalna odprtina = 200 x 55 mm; debelina 6 mm; odprtost 78 %). Skupaj 24 mrež razvite velikosti 200cm x 100cm. Vključno z vsem drobnim materialom in elementi za pritrditev (9x sidrna ploščica 100/200/8 4 x odprtine za vijačenje in vsi vijaki HSA M 10x90). Izdelava konstrukcije po detajlu arhitekta</t>
  </si>
  <si>
    <r>
      <t xml:space="preserve">Dobava polaganje in vezanje armature do </t>
    </r>
    <r>
      <rPr>
        <sz val="10"/>
        <rFont val="Symbol"/>
        <family val="1"/>
        <charset val="2"/>
      </rPr>
      <t>f</t>
    </r>
    <r>
      <rPr>
        <sz val="10"/>
        <rFont val="Calibri"/>
        <family val="2"/>
        <charset val="238"/>
        <scheme val="minor"/>
      </rPr>
      <t xml:space="preserve"> 12 S 500</t>
    </r>
  </si>
  <si>
    <t>Skupaj ograje in konstrukcija za popenjalko:</t>
  </si>
  <si>
    <t>Določitev nove trase TK kabelske kanalizacije in uskladitev trase priključka z upravljalcem.</t>
  </si>
  <si>
    <t>Vzdrževalna dela</t>
  </si>
  <si>
    <t>Ponovna vgradnja (zasip z izkopanim materialom z utrjevanjem do trdnosti 80Mpa) izkopanega materiala po navodilih in načrtih arhitekta - oblikovanje parkovne ureditve s klopmi skupaj s planiranjem - strojno</t>
  </si>
  <si>
    <t>Ponovna vgradnja izkopanega materiala po navodilih in načrtih arhitekta - oblikovanje parkovne ureditve s klopmi - oblikovanje prizorišča skupaj s planiranjem - ročno</t>
  </si>
  <si>
    <t>Trava na grušču (parkovna ureditev s klopmi)</t>
  </si>
  <si>
    <t>Parkovna ureditev s klopmi</t>
  </si>
  <si>
    <t>Ponovna vgradnja izkopanega materiala po navodilih in načrtih arhitekta - oblikovanje parkovne ureditve s klopmi skupaj s planiranjem - ročno</t>
  </si>
  <si>
    <t>Skupaj parkovna ureditev s klopmi:</t>
  </si>
  <si>
    <r>
      <t xml:space="preserve">Stabilizacija brežin </t>
    </r>
    <r>
      <rPr>
        <sz val="10"/>
        <rFont val="Segoe UI"/>
        <family val="2"/>
        <charset val="238"/>
      </rPr>
      <t>(ob poti do parkovne ureditve s klopmi)</t>
    </r>
  </si>
  <si>
    <t>Ponovna vgradnja izkopanega materiala po navodilih in načrtih arhitekta - oblikovanje terena - oblikovanje parkovne ureditve s klopmi skupaj s planiranjem - ročno</t>
  </si>
  <si>
    <t>Dobava, nabava in montaža podnožja AB klopi po detajlu arhitekta (klop - brežina). Klop sestavljena iz betonskega podstavka (dimenzije 2,5m/0,64m/0,40m). Vse po detajlu arhitekta. Skupaj z vsemi deli (izkop, zasutjem in utrjevanje). Betonski prefabrikat -pigmentiran beton z vmešanim agregatom iz porfirja, ob strani pobrani robovi, na vseh vidnih stranicah grobo brušen). Sestava agregata in pigment po izboru in potrditvi vzorca s strani projektanta! (beton C30/37, XC4, XF4, armatura S500, palice fi do vklj. 12mm, poraba cca 22kg/klop - izdelava po armaturnem načrtu)</t>
  </si>
  <si>
    <r>
      <t xml:space="preserve">Dobava in postavitev PS-KPMO </t>
    </r>
    <r>
      <rPr>
        <b/>
        <sz val="9"/>
        <rFont val="Arial"/>
        <family val="2"/>
        <charset val="238"/>
      </rPr>
      <t>Mosdorfer tip. F5 1080/320, dim785x1065x322mm s podstavkom S5 X1 950 (1200)/320</t>
    </r>
    <r>
      <rPr>
        <sz val="9"/>
        <rFont val="Arial"/>
        <family val="2"/>
        <charset val="238"/>
      </rPr>
      <t xml:space="preserve"> ali enakovredno prostostoječa izvedba z opremo in ožičenjem:</t>
    </r>
  </si>
  <si>
    <r>
      <t xml:space="preserve">el. števec; 3×230/400V </t>
    </r>
    <r>
      <rPr>
        <b/>
        <sz val="10"/>
        <rFont val="Arial"/>
        <family val="2"/>
        <charset val="238"/>
      </rPr>
      <t>ZMXi320CQU1L1D3</t>
    </r>
    <r>
      <rPr>
        <sz val="10"/>
        <rFont val="Arial"/>
        <family val="2"/>
        <charset val="238"/>
      </rPr>
      <t xml:space="preserve"> ali enakovredno oz. v skladu s soglasjem Elektro Primorska</t>
    </r>
  </si>
  <si>
    <t>Dobava in montaža N/O doza Obo Bettermann T 250 pravokotno 240mm 190mm 95mm PVC SI IP66 ali enakovredno, komplet z uvodnicami</t>
  </si>
  <si>
    <t>Dobava in montaža  N/O doza Obo Bettermann T 350 pravokotno 285mm 201mm 120mm PVC SI IP66 ali enakovredno, komplet z uvodnicami</t>
  </si>
  <si>
    <t>1 kos - Časovno stikalo-ura; TIMER Digi Schrack 1.kanal ali enakovredno</t>
  </si>
  <si>
    <r>
      <t xml:space="preserve">Razdelilec RZR (prižigališče), </t>
    </r>
    <r>
      <rPr>
        <b/>
        <sz val="10"/>
        <rFont val="Arial"/>
        <family val="2"/>
        <charset val="238"/>
      </rPr>
      <t>Mosdorfer tip. F5 1080/320, dim785x1065x322mm s podstavkom S5 X1 950 (1200)/320</t>
    </r>
    <r>
      <rPr>
        <sz val="10"/>
        <rFont val="Arial"/>
        <family val="2"/>
        <charset val="238"/>
      </rPr>
      <t xml:space="preserve"> ali enakovredno z ustreznim temeljem za uvod in izvod kablov, prostostoječ iz nerjavečega materiala, IP65, opremljen z ključavnicami in napisi, in z vgrajeno opremo:</t>
    </r>
  </si>
  <si>
    <r>
      <t xml:space="preserve">Razdelilec </t>
    </r>
    <r>
      <rPr>
        <b/>
        <sz val="10"/>
        <rFont val="Arial"/>
        <family val="2"/>
        <charset val="238"/>
      </rPr>
      <t>RO-1(2)(3)</t>
    </r>
    <r>
      <rPr>
        <sz val="10"/>
        <rFont val="Arial"/>
        <family val="2"/>
        <charset val="238"/>
      </rPr>
      <t xml:space="preserve"> </t>
    </r>
    <r>
      <rPr>
        <b/>
        <sz val="10"/>
        <rFont val="Arial"/>
        <family val="2"/>
        <charset val="238"/>
      </rPr>
      <t>Mosdorfer tip. F4 850/250, dim 590x848x250 mm s podstavkom S4 950/250; 586x950x239</t>
    </r>
    <r>
      <rPr>
        <sz val="10"/>
        <rFont val="Arial"/>
        <family val="2"/>
        <charset val="238"/>
      </rPr>
      <t xml:space="preserve"> ali enakovredno opremljen z ključavnicami in napisi z vgrajeno opremo:</t>
    </r>
  </si>
  <si>
    <t>Ponudnik lahko izbere enakovredno opremo spodaj opredeljeni.</t>
  </si>
  <si>
    <t>količina</t>
  </si>
  <si>
    <t>enota</t>
  </si>
  <si>
    <t>1.1.3</t>
  </si>
  <si>
    <t>Rušenje betonskih robnikov 15/25/100 (pred vratarnico), nakladanje ruševin in odvoz gradbenih odpadkov na ustrezno deponijo po izboru izvajalca ter plačilo deponijske takse.</t>
  </si>
  <si>
    <t>1.1.4</t>
  </si>
  <si>
    <t>1.1.5</t>
  </si>
  <si>
    <t>Zarezovanje obrabne in nosilne plasti asfalta v debelini do 12 cm (pred vratarnico).</t>
  </si>
  <si>
    <t>Rušenje asfaltnih vozišč do debeline 12 cm (pred vratarnico).</t>
  </si>
  <si>
    <t>Dobava in vgraditev predfabriciranega dvignjenega robnika iz cementnega betona  s prerezom 15/25 cm</t>
  </si>
  <si>
    <t>Izdelava nevezane nosilne plasti vozišča iz enakomerno zrnatega drobljenca gr. 0/32 mm, deb. 30 cm, z utrjevanjem. Cena vključuje izravnavo in utrjevanje tamponskega sloja preko celotne širine vozišča. Nosilnost na planumu mora znašati Ev2=100 MPa.</t>
  </si>
  <si>
    <t>Izdelava asfaltnega vozišča; obrabno zaporna plast iz bituminizirane zmesi, AC 16 surf B70/100 A4 deb. 7 cm oz. skladno z zahtevo upravljavca ceste.</t>
  </si>
  <si>
    <t>Vgraditev posteljice v debelini plasti do 50 cm iz vezljive zemljine - 3. kategorije. Vgradna posteljice iz kamnine zrnavosti 0/125. Nosilnost na planumu posteljice mora znašati vsaj Ev2=80MPa.</t>
  </si>
  <si>
    <t>2.2.41</t>
  </si>
  <si>
    <t>2.2.42</t>
  </si>
  <si>
    <t>2.2.43</t>
  </si>
  <si>
    <t>2.2.44</t>
  </si>
  <si>
    <t>Stojala za kolesa</t>
  </si>
  <si>
    <t>4.2.14</t>
  </si>
  <si>
    <t>4.2.15</t>
  </si>
  <si>
    <t>4.2.16</t>
  </si>
  <si>
    <t>območje DUO/NERUO skupaj</t>
  </si>
  <si>
    <t>upravičeni stroški</t>
  </si>
  <si>
    <t>neupravičeni stroški</t>
  </si>
  <si>
    <t>Stebrički</t>
  </si>
  <si>
    <t xml:space="preserve">Dobava, nabava in montaža stojal za kolesa, sestavljenih iz kovinskega profila v temnejši sivi barvi, dimenzije 60x105 cm, pritrjenih na točkovne temelje s skritim vijačenjem (kot npr. LOTLIMIT SL505 - mmcite ali enakovredno). Vključeno z vsemi deli, prevozi in materiali potrebnimi za temeljenje. </t>
  </si>
  <si>
    <t xml:space="preserve">Dobava, nabava in montaža stebričkov (pred vhodom v vratarnico), sestavljenih iz kovinskega profila v temnejši sivi barvi, dimenzije 60x1000 mm, pritrjenih na točkovne temelje  s skritim vijačenjem (kot npr. LOT SL200 - mmcite ali enakovredno). Vključeno z vsemi deli, prevozi in materiali potrebnimi za temeljenje. </t>
  </si>
  <si>
    <t xml:space="preserve">Dobava, nabava in montaža stebričkov (pred vhodom v vratarnico), sestavljenih iz kovinskega profila v temnejši sivi barvi, dimenzije 60x1000 mm, pritrjenih na točkovne temelje (kot npr. LOT SL250 - mmcite ali enakovredno). Vključeno z vsemi deli, prevozi in materiali potrebnimi za temeljenje. </t>
  </si>
  <si>
    <t>Zahodni del poti</t>
  </si>
  <si>
    <t>Vzhodni del poti</t>
  </si>
  <si>
    <t>Predračun in projektantske cene so usklajene z datumom izdelave projekta oz. za posamezne dopolnitve z datumi dopolnitev.</t>
  </si>
  <si>
    <t>september 2020, sp. in dop. feb. 2021, maj 2021, julij 2021</t>
  </si>
  <si>
    <t>(-) Popis del in projektantska ocena vrednosti sta izdelana na osnovi PZI načrta številka projekta: LUZ, d.d. 8697, št. načrta: LUZ, d.d. – 8697 - KA, SEPTEMBER 2020, sp. in dop. februar 2021, maj 2021, julij 2021, ki ga je izdelalo podjetje LUZ, d.d., Verovškova 64, Ljubljana.</t>
  </si>
  <si>
    <t>Trava na grušču (servisna pot+območje stojal za kolesa)</t>
  </si>
  <si>
    <t>DRUGO</t>
  </si>
  <si>
    <t>Izdelava geodetskega posnetka v papirnati in elektronski obliki</t>
  </si>
  <si>
    <t xml:space="preserve">kos </t>
  </si>
  <si>
    <t>drugo - zdelava geodetskega posnetka v papirnati in elektronski obliki</t>
  </si>
  <si>
    <t>Pripravljalna dela in tuje storitve</t>
  </si>
  <si>
    <t>Pripravljalna dela (priprava gradbišča in rušitve)</t>
  </si>
  <si>
    <t>POPIS DEL - Pripravljalna dela in tuje storitve</t>
  </si>
  <si>
    <t>Skupaj pripravljalna dela (priprava gradbišča in rušitve):</t>
  </si>
  <si>
    <t>1.2.14</t>
  </si>
  <si>
    <t xml:space="preserve">Odstranitev obstoječe dopolnilne table na obstoječem prometnem znaku za prepovedan promet v obeh smereh na Škrabčevi ulici 1 ob samostanu Kostanjevica: parc. 1553/1 k.o. 2304 Nova Gorica. Nabava, dobava in postavitev nove, enake dopolnilne table z novim besedilom "Dovoljeno za lastnike parcel, kolesarje in obiskovalce Rafutskega parka.". </t>
  </si>
  <si>
    <r>
      <rPr>
        <b/>
        <sz val="10"/>
        <rFont val="Arial"/>
        <family val="2"/>
        <charset val="238"/>
      </rPr>
      <t>S1:</t>
    </r>
    <r>
      <rPr>
        <sz val="10"/>
        <rFont val="Arial"/>
        <family val="2"/>
        <charset val="238"/>
      </rPr>
      <t xml:space="preserve"> LED SVETILKA za zunanjo montažo z naslednjimi lastnostmi: MODULES LED 3000K  230V CRI 70 MacAdam step 3; Svetlobni tok: 3924lm, Nazivna vhodna moč: 44,1W, Izkoristek: 94lm/W, Predstikalna naprava 220÷240V AC 50-60Hz / DC, Certifikati; CE - ENEC 03m komplet z drogom višine h=3,5m z naslednjimi lastnostmi: Aluminijast profil A A-6060 iz ekstrudiranega aluminija, aluminijasto ohišje EN AB-44100 (brez bakra) z visoko korozijsko odpornostjo, priključno omarico, kompetno ožičeno in flančno s sidriščem S.7109; ustreza: SIMES; tip S.7100W.14 ali enakovredno</t>
    </r>
  </si>
  <si>
    <r>
      <rPr>
        <b/>
        <sz val="10"/>
        <rFont val="Arial"/>
        <family val="2"/>
        <charset val="238"/>
      </rPr>
      <t>S2:</t>
    </r>
    <r>
      <rPr>
        <sz val="10"/>
        <rFont val="Arial"/>
        <family val="2"/>
        <charset val="238"/>
      </rPr>
      <t xml:space="preserve"> LED SVETILKA za zunanjo montažo z naslednjimi lastnostmi: MODULES LED 3000K 230V 710lm CRI 90 MacAdam step 3
Svetlobni tok: 511lm
Nazivna vhodna moč: 7,6W
Izkoristek: 66lm/W Predstikalna naprava 220÷240V AC 50-60Hz / DC; komplet s stebričkom višine 0,6m in temeljem ustreza: SIMES; tip Keen S.1501W.14/SPEC ali enakovredno</t>
    </r>
  </si>
  <si>
    <r>
      <rPr>
        <b/>
        <sz val="10"/>
        <rFont val="Arial"/>
        <family val="2"/>
        <charset val="238"/>
      </rPr>
      <t>S3:</t>
    </r>
    <r>
      <rPr>
        <sz val="10"/>
        <rFont val="Arial"/>
        <family val="2"/>
        <charset val="238"/>
      </rPr>
      <t xml:space="preserve"> LED SVETILKA za zunanjo montažo z naslednjimi lastnostmi: MODULES LED 3000K 230V 710lm CRI 90 MacAdam step 3, kot sevanja 42°
Svetlobni tok: 511lm
Nazivna vhodna moč: 7,6W
Izkoristek: 66lm/W Predstikalna naprava 220÷240V AC 50-60Hz / DC; komplet s temeljem ustreza: SIMES; tip Keen S.1501W.14/42° + S.1509.14 ali enakovredno, temelj izvede gradbenik!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</si>
</sst>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quot;_-;\-* #,##0.00\ &quot;€&quot;_-;_-* &quot;-&quot;??\ &quot;€&quot;_-;_-@_-"/>
    <numFmt numFmtId="164" formatCode="_-* #,##0.00\ _€_-;\-* #,##0.00\ _€_-;_-* &quot;-&quot;??\ _€_-;_-@_-"/>
    <numFmt numFmtId="165" formatCode="_-* #,##0.00\ _S_I_T_-;\-* #,##0.00\ _S_I_T_-;_-* &quot;-&quot;??\ _S_I_T_-;_-@_-"/>
    <numFmt numFmtId="166" formatCode="#,##0."/>
    <numFmt numFmtId="167" formatCode="\$#."/>
    <numFmt numFmtId="168" formatCode="#.00"/>
    <numFmt numFmtId="169" formatCode="#,"/>
    <numFmt numFmtId="170" formatCode="_-* #,##0.00\ &quot;SIT&quot;_-;\-* #,##0.00\ &quot;SIT&quot;_-;_-* &quot;-&quot;??\ &quot;SIT&quot;_-;_-@_-"/>
    <numFmt numFmtId="171" formatCode="0.000"/>
    <numFmt numFmtId="172" formatCode="#,##0.00\ &quot;€&quot;"/>
    <numFmt numFmtId="173" formatCode="0.0"/>
    <numFmt numFmtId="174" formatCode="#,##0.00\ [$EUR]"/>
    <numFmt numFmtId="175" formatCode="_-* #,##0\ _S_I_T_-;\-* #,##0\ _S_I_T_-;_-* \-??\ _S_I_T_-;_-@_-"/>
    <numFmt numFmtId="176" formatCode="_-* #,##0.00\ [$€-1]_-;\-* #,##0.00\ [$€-1]_-;_-* &quot;-&quot;??\ [$€-1]_-;_-@_-"/>
  </numFmts>
  <fonts count="122">
    <font>
      <sz val="11"/>
      <color theme="1"/>
      <name val="Calibri"/>
      <family val="2"/>
      <charset val="238"/>
      <scheme val="minor"/>
    </font>
    <font>
      <sz val="10"/>
      <color theme="1"/>
      <name val="Segoe UI"/>
      <family val="2"/>
      <charset val="238"/>
    </font>
    <font>
      <sz val="11"/>
      <color indexed="8"/>
      <name val="Calibri"/>
      <family val="2"/>
      <charset val="238"/>
    </font>
    <font>
      <sz val="10"/>
      <name val="Arial"/>
      <family val="2"/>
    </font>
    <font>
      <sz val="10"/>
      <name val="Arial"/>
      <family val="2"/>
      <charset val="238"/>
    </font>
    <font>
      <sz val="10"/>
      <name val="Arial CE"/>
      <charset val="238"/>
    </font>
    <font>
      <sz val="11"/>
      <name val="Arial"/>
      <family val="2"/>
      <charset val="238"/>
    </font>
    <font>
      <sz val="10"/>
      <name val="Arial CE"/>
      <family val="2"/>
      <charset val="238"/>
    </font>
    <font>
      <sz val="12"/>
      <name val="Arial"/>
      <family val="2"/>
      <charset val="238"/>
    </font>
    <font>
      <sz val="10"/>
      <name val="Calibri"/>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
      <color indexed="8"/>
      <name val="Courier"/>
      <family val="3"/>
    </font>
    <font>
      <i/>
      <sz val="11"/>
      <color indexed="23"/>
      <name val="Calibri"/>
      <family val="2"/>
      <charset val="238"/>
    </font>
    <font>
      <sz val="11"/>
      <color indexed="17"/>
      <name val="Calibri"/>
      <family val="2"/>
      <charset val="238"/>
    </font>
    <font>
      <b/>
      <sz val="14"/>
      <name val="Arial CE"/>
      <family val="2"/>
      <charset val="238"/>
    </font>
    <font>
      <b/>
      <sz val="13"/>
      <color indexed="56"/>
      <name val="Calibri"/>
      <family val="2"/>
      <charset val="238"/>
    </font>
    <font>
      <b/>
      <sz val="11"/>
      <color indexed="56"/>
      <name val="Calibri"/>
      <family val="2"/>
      <charset val="238"/>
    </font>
    <font>
      <b/>
      <sz val="1"/>
      <color indexed="8"/>
      <name val="Courier"/>
      <family val="3"/>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Times New Roman CE"/>
      <family val="1"/>
      <charset val="238"/>
    </font>
    <font>
      <b/>
      <sz val="12"/>
      <name val="Arial CE"/>
      <family val="2"/>
      <charset val="238"/>
    </font>
    <font>
      <sz val="10"/>
      <name val="Times New Roman"/>
      <family val="1"/>
      <charset val="238"/>
    </font>
    <font>
      <b/>
      <sz val="15"/>
      <color indexed="56"/>
      <name val="Calibri"/>
      <family val="2"/>
      <charset val="238"/>
    </font>
    <font>
      <sz val="10"/>
      <color indexed="8"/>
      <name val="MS Sans Serif"/>
      <family val="2"/>
      <charset val="238"/>
    </font>
    <font>
      <b/>
      <sz val="11"/>
      <name val="Arial CE"/>
      <family val="2"/>
      <charset val="238"/>
    </font>
    <font>
      <sz val="8"/>
      <name val="Calibri"/>
      <family val="2"/>
      <charset val="238"/>
    </font>
    <font>
      <sz val="11"/>
      <color theme="1"/>
      <name val="Calibri"/>
      <family val="2"/>
      <charset val="238"/>
      <scheme val="minor"/>
    </font>
    <font>
      <sz val="10"/>
      <color theme="1"/>
      <name val="Arial Narrow"/>
      <family val="2"/>
      <charset val="238"/>
    </font>
    <font>
      <sz val="10"/>
      <color theme="1"/>
      <name val="Segoe UI"/>
      <family val="2"/>
      <charset val="238"/>
    </font>
    <font>
      <b/>
      <sz val="10"/>
      <color theme="1"/>
      <name val="Segoe UI"/>
      <family val="2"/>
      <charset val="238"/>
    </font>
    <font>
      <b/>
      <sz val="10"/>
      <name val="Segoe UI"/>
      <family val="2"/>
      <charset val="238"/>
    </font>
    <font>
      <sz val="10"/>
      <name val="Segoe UI"/>
      <family val="2"/>
      <charset val="238"/>
    </font>
    <font>
      <b/>
      <sz val="10"/>
      <color indexed="9"/>
      <name val="Segoe UI"/>
      <family val="2"/>
      <charset val="238"/>
    </font>
    <font>
      <b/>
      <sz val="12"/>
      <color indexed="8"/>
      <name val="Segoe UI"/>
      <family val="2"/>
      <charset val="238"/>
    </font>
    <font>
      <i/>
      <sz val="10"/>
      <name val="Segoe UI"/>
      <family val="2"/>
      <charset val="238"/>
    </font>
    <font>
      <sz val="10"/>
      <color indexed="8"/>
      <name val="Segoe UI"/>
      <family val="2"/>
      <charset val="238"/>
    </font>
    <font>
      <sz val="12"/>
      <name val="Segoe UI"/>
      <family val="2"/>
      <charset val="238"/>
    </font>
    <font>
      <b/>
      <sz val="12"/>
      <color theme="0"/>
      <name val="Segoe UI"/>
      <family val="2"/>
      <charset val="238"/>
    </font>
    <font>
      <b/>
      <sz val="10"/>
      <color indexed="10"/>
      <name val="Segoe UI"/>
      <family val="2"/>
      <charset val="238"/>
    </font>
    <font>
      <sz val="12"/>
      <color indexed="8"/>
      <name val="Segoe UI"/>
      <family val="2"/>
      <charset val="238"/>
    </font>
    <font>
      <b/>
      <sz val="10"/>
      <color indexed="8"/>
      <name val="Segoe UI"/>
      <family val="2"/>
      <charset val="238"/>
    </font>
    <font>
      <b/>
      <sz val="12"/>
      <color rgb="FF43B033"/>
      <name val="Segoe UI"/>
      <family val="2"/>
      <charset val="238"/>
    </font>
    <font>
      <sz val="10"/>
      <name val="Frutiger"/>
      <family val="2"/>
      <charset val="238"/>
    </font>
    <font>
      <b/>
      <sz val="10"/>
      <name val="Frutiger"/>
      <family val="2"/>
      <charset val="238"/>
    </font>
    <font>
      <b/>
      <sz val="12"/>
      <name val="Frutiger"/>
      <family val="2"/>
      <charset val="238"/>
    </font>
    <font>
      <b/>
      <i/>
      <sz val="10"/>
      <name val="Frutiger"/>
      <family val="2"/>
      <charset val="238"/>
    </font>
    <font>
      <i/>
      <sz val="10"/>
      <name val="Frutiger"/>
      <family val="2"/>
      <charset val="238"/>
    </font>
    <font>
      <b/>
      <sz val="9"/>
      <name val="Frutiger"/>
      <family val="2"/>
      <charset val="238"/>
    </font>
    <font>
      <sz val="9"/>
      <name val="Frutiger"/>
      <family val="2"/>
      <charset val="238"/>
    </font>
    <font>
      <sz val="9"/>
      <name val="Times New Roman CE"/>
      <family val="1"/>
      <charset val="238"/>
    </font>
    <font>
      <b/>
      <sz val="11"/>
      <name val="Frutiger"/>
      <family val="2"/>
      <charset val="238"/>
    </font>
    <font>
      <sz val="12"/>
      <name val="Frutiger"/>
      <family val="2"/>
      <charset val="238"/>
    </font>
    <font>
      <b/>
      <sz val="10"/>
      <name val="Arial"/>
      <family val="2"/>
      <charset val="238"/>
    </font>
    <font>
      <b/>
      <sz val="12"/>
      <name val="Calibri"/>
      <family val="2"/>
      <charset val="238"/>
      <scheme val="minor"/>
    </font>
    <font>
      <sz val="10"/>
      <name val="Calibri"/>
      <family val="2"/>
      <charset val="238"/>
      <scheme val="minor"/>
    </font>
    <font>
      <b/>
      <sz val="9"/>
      <name val="Calibri"/>
      <family val="2"/>
      <charset val="238"/>
      <scheme val="minor"/>
    </font>
    <font>
      <sz val="10"/>
      <color indexed="8"/>
      <name val="Arial"/>
      <family val="2"/>
      <charset val="238"/>
    </font>
    <font>
      <b/>
      <sz val="14"/>
      <name val="Calibri"/>
      <family val="2"/>
      <charset val="238"/>
      <scheme val="minor"/>
    </font>
    <font>
      <b/>
      <u/>
      <sz val="10"/>
      <name val="Arial"/>
      <family val="2"/>
      <charset val="238"/>
    </font>
    <font>
      <sz val="10"/>
      <color indexed="8"/>
      <name val="Arial Narrow"/>
      <family val="2"/>
      <charset val="238"/>
    </font>
    <font>
      <sz val="10"/>
      <name val="Arial Narrow"/>
      <family val="2"/>
      <charset val="238"/>
    </font>
    <font>
      <b/>
      <sz val="10"/>
      <color indexed="8"/>
      <name val="Arial CE"/>
      <family val="2"/>
      <charset val="238"/>
    </font>
    <font>
      <sz val="10"/>
      <color indexed="8"/>
      <name val="Arial CE"/>
    </font>
    <font>
      <sz val="11"/>
      <color theme="1"/>
      <name val="Calibri"/>
      <family val="2"/>
      <scheme val="minor"/>
    </font>
    <font>
      <sz val="8"/>
      <name val="Segoe UI"/>
      <family val="2"/>
      <charset val="238"/>
    </font>
    <font>
      <b/>
      <sz val="10"/>
      <name val="Segoe Ul"/>
      <charset val="238"/>
    </font>
    <font>
      <sz val="10"/>
      <name val="Segoe Ul"/>
      <charset val="238"/>
    </font>
    <font>
      <sz val="10"/>
      <color indexed="8"/>
      <name val="Arial CE"/>
      <family val="2"/>
      <charset val="238"/>
    </font>
    <font>
      <sz val="10"/>
      <name val="Arial CE"/>
    </font>
    <font>
      <b/>
      <sz val="10"/>
      <name val="Arial CE"/>
      <family val="2"/>
      <charset val="238"/>
    </font>
    <font>
      <sz val="10"/>
      <name val="Arial"/>
      <family val="2"/>
      <charset val="238"/>
    </font>
    <font>
      <sz val="11"/>
      <name val="Calibri"/>
      <family val="2"/>
      <charset val="238"/>
      <scheme val="minor"/>
    </font>
    <font>
      <sz val="11"/>
      <name val="Garamond"/>
      <family val="1"/>
      <charset val="238"/>
    </font>
    <font>
      <vertAlign val="superscript"/>
      <sz val="10"/>
      <name val="Arial CE"/>
      <charset val="238"/>
    </font>
    <font>
      <b/>
      <sz val="10"/>
      <name val="Arial CE"/>
    </font>
    <font>
      <b/>
      <sz val="12"/>
      <name val="Arial"/>
      <family val="2"/>
      <charset val="238"/>
    </font>
    <font>
      <sz val="10"/>
      <color theme="1"/>
      <name val="Arial CE"/>
      <family val="2"/>
      <charset val="238"/>
    </font>
    <font>
      <b/>
      <sz val="10"/>
      <color theme="1"/>
      <name val="Arial CE"/>
      <family val="2"/>
      <charset val="238"/>
    </font>
    <font>
      <sz val="10"/>
      <color theme="1"/>
      <name val="Arial"/>
      <family val="2"/>
      <charset val="238"/>
    </font>
    <font>
      <b/>
      <sz val="12"/>
      <color theme="1"/>
      <name val="Arial CE"/>
      <family val="2"/>
      <charset val="238"/>
    </font>
    <font>
      <sz val="10"/>
      <color theme="1"/>
      <name val="Arial"/>
      <family val="2"/>
    </font>
    <font>
      <vertAlign val="superscript"/>
      <sz val="10"/>
      <color indexed="8"/>
      <name val="Segoe UI"/>
      <family val="2"/>
      <charset val="238"/>
    </font>
    <font>
      <sz val="10.5"/>
      <name val="Segeoe UI"/>
      <charset val="238"/>
    </font>
    <font>
      <b/>
      <sz val="10.5"/>
      <name val="Segeoe UI"/>
      <charset val="238"/>
    </font>
    <font>
      <i/>
      <sz val="10.5"/>
      <name val="Segeoe UI"/>
      <charset val="238"/>
    </font>
    <font>
      <b/>
      <i/>
      <sz val="10.5"/>
      <name val="Segeoe UI"/>
      <charset val="238"/>
    </font>
    <font>
      <sz val="10"/>
      <color indexed="10"/>
      <name val="Segoe UI"/>
      <family val="2"/>
      <charset val="238"/>
    </font>
    <font>
      <sz val="11"/>
      <color rgb="FFFF0000"/>
      <name val="Calibri"/>
      <family val="2"/>
      <charset val="238"/>
      <scheme val="minor"/>
    </font>
    <font>
      <vertAlign val="superscript"/>
      <sz val="10"/>
      <name val="Arial Narrow"/>
      <family val="2"/>
      <charset val="238"/>
    </font>
    <font>
      <b/>
      <sz val="14"/>
      <color indexed="8"/>
      <name val="Arial"/>
      <family val="2"/>
      <charset val="238"/>
    </font>
    <font>
      <b/>
      <sz val="12"/>
      <color indexed="8"/>
      <name val="Arial"/>
      <family val="2"/>
      <charset val="238"/>
    </font>
    <font>
      <b/>
      <sz val="11"/>
      <color indexed="8"/>
      <name val="Arial"/>
      <family val="2"/>
      <charset val="238"/>
    </font>
    <font>
      <b/>
      <sz val="11"/>
      <name val="Arial"/>
      <family val="2"/>
      <charset val="238"/>
    </font>
    <font>
      <b/>
      <sz val="9"/>
      <name val="Arial"/>
      <family val="2"/>
      <charset val="238"/>
    </font>
    <font>
      <sz val="9"/>
      <color indexed="8"/>
      <name val="Arial"/>
      <family val="2"/>
      <charset val="238"/>
    </font>
    <font>
      <sz val="9"/>
      <name val="Arial"/>
      <family val="2"/>
      <charset val="238"/>
    </font>
    <font>
      <vertAlign val="superscript"/>
      <sz val="9"/>
      <name val="Arial"/>
      <family val="2"/>
      <charset val="238"/>
    </font>
    <font>
      <b/>
      <sz val="14"/>
      <name val="Arial"/>
      <family val="2"/>
      <charset val="238"/>
    </font>
    <font>
      <b/>
      <sz val="8"/>
      <name val="Arial"/>
      <family val="2"/>
      <charset val="238"/>
    </font>
    <font>
      <b/>
      <sz val="16"/>
      <name val="Arial"/>
      <family val="2"/>
      <charset val="238"/>
    </font>
    <font>
      <sz val="8"/>
      <name val="Frutiger"/>
      <family val="2"/>
      <charset val="238"/>
    </font>
    <font>
      <sz val="10"/>
      <color rgb="FFFF0000"/>
      <name val="Segoe UI"/>
      <family val="2"/>
      <charset val="238"/>
    </font>
    <font>
      <b/>
      <sz val="10"/>
      <color rgb="FF43B033"/>
      <name val="Segoe UI"/>
      <family val="2"/>
      <charset val="238"/>
    </font>
    <font>
      <b/>
      <sz val="12"/>
      <name val="Segoe UI"/>
      <family val="2"/>
      <charset val="238"/>
    </font>
    <font>
      <vertAlign val="superscript"/>
      <sz val="10"/>
      <name val="Segoe UI"/>
      <family val="2"/>
      <charset val="238"/>
    </font>
    <font>
      <b/>
      <sz val="10"/>
      <color theme="0"/>
      <name val="Segoe UI"/>
      <family val="2"/>
      <charset val="238"/>
    </font>
    <font>
      <sz val="11"/>
      <name val="Symbol"/>
      <family val="1"/>
      <charset val="2"/>
    </font>
    <font>
      <sz val="10"/>
      <name val="Symbol"/>
      <family val="1"/>
      <charset val="2"/>
    </font>
    <font>
      <b/>
      <i/>
      <sz val="10.5"/>
      <color theme="0" tint="-0.34998626667073579"/>
      <name val="Segeoe UI"/>
      <charset val="238"/>
    </font>
    <font>
      <b/>
      <sz val="10.5"/>
      <color indexed="8"/>
      <name val="Segeoe UI"/>
      <charset val="238"/>
    </font>
    <font>
      <b/>
      <sz val="10.5"/>
      <color indexed="9"/>
      <name val="Segeoe UI"/>
      <charset val="238"/>
    </font>
    <font>
      <b/>
      <sz val="10.5"/>
      <color rgb="FF00B050"/>
      <name val="Segeoe UI"/>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43B03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1"/>
        <bgColor indexed="64"/>
      </patternFill>
    </fill>
    <fill>
      <patternFill patternType="solid">
        <fgColor rgb="FFFF66FF"/>
        <bgColor indexed="64"/>
      </patternFill>
    </fill>
  </fills>
  <borders count="1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style="thin">
        <color indexed="62"/>
      </top>
      <bottom style="double">
        <color indexed="62"/>
      </bottom>
      <diagonal/>
    </border>
    <border>
      <left/>
      <right/>
      <top style="double">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diagonal/>
    </border>
    <border>
      <left/>
      <right/>
      <top/>
      <bottom style="double">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bottom/>
      <diagonal/>
    </border>
    <border>
      <left style="thin">
        <color indexed="64"/>
      </left>
      <right style="double">
        <color indexed="64"/>
      </right>
      <top style="medium">
        <color indexed="64"/>
      </top>
      <bottom style="medium">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diagonal/>
    </border>
    <border>
      <left/>
      <right style="double">
        <color indexed="64"/>
      </right>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top/>
      <bottom style="dotted">
        <color indexed="64"/>
      </bottom>
      <diagonal/>
    </border>
    <border>
      <left/>
      <right style="double">
        <color indexed="64"/>
      </right>
      <top/>
      <bottom/>
      <diagonal/>
    </border>
    <border>
      <left style="thin">
        <color indexed="64"/>
      </left>
      <right/>
      <top style="hair">
        <color indexed="64"/>
      </top>
      <bottom/>
      <diagonal/>
    </border>
    <border>
      <left/>
      <right/>
      <top style="thin">
        <color indexed="64"/>
      </top>
      <bottom style="double">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hair">
        <color indexed="64"/>
      </top>
      <bottom style="hair">
        <color indexed="64"/>
      </bottom>
      <diagonal/>
    </border>
    <border>
      <left style="thin">
        <color indexed="64"/>
      </left>
      <right/>
      <top style="medium">
        <color indexed="64"/>
      </top>
      <bottom style="double">
        <color indexed="64"/>
      </bottom>
      <diagonal/>
    </border>
    <border>
      <left style="medium">
        <color indexed="64"/>
      </left>
      <right style="hair">
        <color indexed="64"/>
      </right>
      <top/>
      <bottom style="hair">
        <color indexed="64"/>
      </bottom>
      <diagonal/>
    </border>
    <border>
      <left style="medium">
        <color indexed="64"/>
      </left>
      <right style="thin">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double">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double">
        <color indexed="64"/>
      </top>
      <bottom style="double">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double">
        <color indexed="64"/>
      </right>
      <top style="medium">
        <color indexed="64"/>
      </top>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double">
        <color indexed="64"/>
      </left>
      <right style="thin">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double">
        <color indexed="64"/>
      </right>
      <top style="double">
        <color auto="1"/>
      </top>
      <bottom style="thin">
        <color indexed="64"/>
      </bottom>
      <diagonal/>
    </border>
    <border>
      <left style="double">
        <color indexed="64"/>
      </left>
      <right style="thin">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indexed="64"/>
      </right>
      <top style="thin">
        <color indexed="64"/>
      </top>
      <bottom style="double">
        <color auto="1"/>
      </bottom>
      <diagonal/>
    </border>
    <border>
      <left style="double">
        <color auto="1"/>
      </left>
      <right/>
      <top style="double">
        <color auto="1"/>
      </top>
      <bottom/>
      <diagonal/>
    </border>
    <border>
      <left/>
      <right/>
      <top style="double">
        <color indexed="64"/>
      </top>
      <bottom/>
      <diagonal/>
    </border>
    <border>
      <left style="double">
        <color auto="1"/>
      </left>
      <right/>
      <top/>
      <bottom style="double">
        <color auto="1"/>
      </bottom>
      <diagonal/>
    </border>
    <border>
      <left/>
      <right style="double">
        <color auto="1"/>
      </right>
      <top style="double">
        <color auto="1"/>
      </top>
      <bottom/>
      <diagonal/>
    </border>
    <border>
      <left/>
      <right style="double">
        <color auto="1"/>
      </right>
      <top/>
      <bottom style="double">
        <color auto="1"/>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s>
  <cellStyleXfs count="99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5" fontId="5" fillId="0" borderId="0" applyFont="0" applyFill="0" applyBorder="0" applyAlignment="0" applyProtection="0"/>
    <xf numFmtId="166" fontId="15" fillId="0" borderId="0">
      <protection locked="0"/>
    </xf>
    <xf numFmtId="167" fontId="15" fillId="0" borderId="0">
      <protection locked="0"/>
    </xf>
    <xf numFmtId="0" fontId="15" fillId="0" borderId="0">
      <protection locked="0"/>
    </xf>
    <xf numFmtId="0" fontId="17" fillId="4" borderId="0" applyNumberFormat="0" applyBorder="0" applyAlignment="0" applyProtection="0"/>
    <xf numFmtId="0" fontId="4" fillId="0" borderId="0"/>
    <xf numFmtId="0" fontId="16" fillId="0" borderId="0" applyNumberFormat="0" applyFill="0" applyBorder="0" applyAlignment="0" applyProtection="0"/>
    <xf numFmtId="168" fontId="15" fillId="0" borderId="0">
      <protection locked="0"/>
    </xf>
    <xf numFmtId="0" fontId="17" fillId="4" borderId="0" applyNumberFormat="0" applyBorder="0" applyAlignment="0" applyProtection="0"/>
    <xf numFmtId="0" fontId="18" fillId="0" borderId="0" applyNumberFormat="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169" fontId="21" fillId="0" borderId="0">
      <protection locked="0"/>
    </xf>
    <xf numFmtId="169" fontId="21" fillId="0" borderId="0">
      <protection locked="0"/>
    </xf>
    <xf numFmtId="0" fontId="22" fillId="7" borderId="1" applyNumberFormat="0" applyAlignment="0" applyProtection="0"/>
    <xf numFmtId="0" fontId="25" fillId="20" borderId="5" applyNumberFormat="0" applyAlignment="0" applyProtection="0"/>
    <xf numFmtId="39" fontId="3" fillId="0" borderId="6">
      <alignment horizontal="right" vertical="top" wrapText="1"/>
    </xf>
    <xf numFmtId="0" fontId="23" fillId="0" borderId="7" applyNumberFormat="0" applyFill="0" applyAlignment="0" applyProtection="0"/>
    <xf numFmtId="0" fontId="32" fillId="0" borderId="8"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6" fillId="0" borderId="0" applyNumberFormat="0" applyFill="0" applyBorder="0" applyAlignment="0" applyProtection="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49" fontId="5" fillId="0" borderId="0"/>
    <xf numFmtId="0" fontId="7" fillId="0" borderId="0">
      <alignment vertical="top" wrapText="1"/>
    </xf>
    <xf numFmtId="0" fontId="36" fillId="0" borderId="0"/>
    <xf numFmtId="0" fontId="10" fillId="0" borderId="0"/>
    <xf numFmtId="0" fontId="36" fillId="0" borderId="0"/>
    <xf numFmtId="0" fontId="10" fillId="0" borderId="0"/>
    <xf numFmtId="0" fontId="4" fillId="0" borderId="0"/>
    <xf numFmtId="0" fontId="5" fillId="0" borderId="0"/>
    <xf numFmtId="0" fontId="7" fillId="0" borderId="0"/>
    <xf numFmtId="0" fontId="5" fillId="0" borderId="0"/>
    <xf numFmtId="0" fontId="5"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36" fillId="0" borderId="0"/>
    <xf numFmtId="0" fontId="10" fillId="0" borderId="0"/>
    <xf numFmtId="0" fontId="5" fillId="0" borderId="0"/>
    <xf numFmtId="0" fontId="4" fillId="0" borderId="0" applyFont="0" applyBorder="0"/>
    <xf numFmtId="0" fontId="4" fillId="0" borderId="0"/>
    <xf numFmtId="0" fontId="4" fillId="0" borderId="0"/>
    <xf numFmtId="0" fontId="4" fillId="0" borderId="0"/>
    <xf numFmtId="0" fontId="4" fillId="0" borderId="0"/>
    <xf numFmtId="0" fontId="36" fillId="0" borderId="0"/>
    <xf numFmtId="0" fontId="10" fillId="0" borderId="0"/>
    <xf numFmtId="0" fontId="36" fillId="0" borderId="0"/>
    <xf numFmtId="0" fontId="10" fillId="0" borderId="0"/>
    <xf numFmtId="0" fontId="4" fillId="0" borderId="0"/>
    <xf numFmtId="0" fontId="36" fillId="0" borderId="0"/>
    <xf numFmtId="0" fontId="10" fillId="0" borderId="0"/>
    <xf numFmtId="0" fontId="36" fillId="0" borderId="0"/>
    <xf numFmtId="0" fontId="10" fillId="0" borderId="0"/>
    <xf numFmtId="0" fontId="36" fillId="0" borderId="0"/>
    <xf numFmtId="0" fontId="10" fillId="0" borderId="0"/>
    <xf numFmtId="0" fontId="4" fillId="0" borderId="0"/>
    <xf numFmtId="0" fontId="36" fillId="0" borderId="0"/>
    <xf numFmtId="0" fontId="10" fillId="0" borderId="0"/>
    <xf numFmtId="0" fontId="36" fillId="0" borderId="0"/>
    <xf numFmtId="0" fontId="10" fillId="0" borderId="0"/>
    <xf numFmtId="0" fontId="4" fillId="0" borderId="0"/>
    <xf numFmtId="0" fontId="36" fillId="0" borderId="0"/>
    <xf numFmtId="0" fontId="10" fillId="0" borderId="0"/>
    <xf numFmtId="0" fontId="36" fillId="0" borderId="0"/>
    <xf numFmtId="0" fontId="10" fillId="0" borderId="0"/>
    <xf numFmtId="0" fontId="36" fillId="0" borderId="0"/>
    <xf numFmtId="0" fontId="10" fillId="0" borderId="0"/>
    <xf numFmtId="0" fontId="6" fillId="0" borderId="0"/>
    <xf numFmtId="0" fontId="4" fillId="0" borderId="0"/>
    <xf numFmtId="0" fontId="4" fillId="0" borderId="0"/>
    <xf numFmtId="0" fontId="5" fillId="0" borderId="0"/>
    <xf numFmtId="0" fontId="33" fillId="0" borderId="0"/>
    <xf numFmtId="0" fontId="3" fillId="0" borderId="0"/>
    <xf numFmtId="0" fontId="6" fillId="0" borderId="0"/>
    <xf numFmtId="0" fontId="7" fillId="0" borderId="0"/>
    <xf numFmtId="0" fontId="24" fillId="22" borderId="0" applyNumberFormat="0" applyBorder="0" applyAlignment="0" applyProtection="0"/>
    <xf numFmtId="0" fontId="24" fillId="22" borderId="0" applyNumberFormat="0" applyBorder="0" applyAlignment="0" applyProtection="0"/>
    <xf numFmtId="0" fontId="34" fillId="0" borderId="0">
      <alignment horizontal="left" vertical="top" wrapText="1" readingOrder="1"/>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0" fontId="4" fillId="0" borderId="0"/>
    <xf numFmtId="0" fontId="8" fillId="0" borderId="0" applyNumberFormat="0" applyFill="0" applyBorder="0" applyAlignment="0" applyProtection="0"/>
    <xf numFmtId="0" fontId="4" fillId="0" borderId="0"/>
    <xf numFmtId="0" fontId="3" fillId="0" borderId="0"/>
    <xf numFmtId="0" fontId="4" fillId="23" borderId="9" applyNumberFormat="0" applyFont="0" applyAlignment="0" applyProtection="0"/>
    <xf numFmtId="9" fontId="4" fillId="0" borderId="0" applyFont="0" applyFill="0" applyBorder="0" applyAlignment="0" applyProtection="0"/>
    <xf numFmtId="9" fontId="6" fillId="0" borderId="0" applyFont="0" applyFill="0" applyBorder="0" applyAlignment="0" applyProtection="0"/>
    <xf numFmtId="0" fontId="10" fillId="23" borderId="9" applyNumberFormat="0" applyFont="0" applyAlignment="0" applyProtection="0"/>
    <xf numFmtId="0" fontId="28" fillId="0" borderId="0" applyNumberFormat="0" applyFill="0" applyBorder="0" applyAlignment="0" applyProtection="0"/>
    <xf numFmtId="0" fontId="25" fillId="20" borderId="5" applyNumberFormat="0" applyAlignment="0" applyProtection="0"/>
    <xf numFmtId="0" fontId="16" fillId="0" borderId="0" applyNumberForma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3" fillId="0" borderId="7" applyNumberFormat="0" applyFill="0" applyAlignment="0" applyProtection="0"/>
    <xf numFmtId="0" fontId="14" fillId="21" borderId="2" applyNumberFormat="0" applyAlignment="0" applyProtection="0"/>
    <xf numFmtId="0" fontId="13" fillId="20" borderId="1" applyNumberFormat="0" applyAlignment="0" applyProtection="0"/>
    <xf numFmtId="0" fontId="12" fillId="3" borderId="0" applyNumberFormat="0" applyBorder="0" applyAlignment="0" applyProtection="0"/>
    <xf numFmtId="0" fontId="7" fillId="0" borderId="0"/>
    <xf numFmtId="0" fontId="7" fillId="0" borderId="0"/>
    <xf numFmtId="0" fontId="3" fillId="0" borderId="10">
      <alignment horizontal="left" vertical="top" wrapText="1"/>
    </xf>
    <xf numFmtId="0" fontId="3" fillId="0" borderId="10">
      <alignment horizontal="left" vertical="top" wrapText="1"/>
    </xf>
    <xf numFmtId="0" fontId="26" fillId="0" borderId="0" applyNumberFormat="0" applyFill="0" applyBorder="0" applyAlignment="0" applyProtection="0"/>
    <xf numFmtId="0" fontId="27" fillId="0" borderId="11" applyNumberFormat="0" applyFill="0" applyAlignment="0" applyProtection="0"/>
    <xf numFmtId="0" fontId="30" fillId="0" borderId="12" applyNumberFormat="0"/>
    <xf numFmtId="170" fontId="5" fillId="0" borderId="0" applyFont="0" applyFill="0" applyBorder="0" applyAlignment="0" applyProtection="0"/>
    <xf numFmtId="165" fontId="5"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7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22" fillId="7" borderId="1" applyNumberFormat="0" applyAlignment="0" applyProtection="0"/>
    <xf numFmtId="0" fontId="27" fillId="0" borderId="11" applyNumberFormat="0" applyFill="0" applyAlignment="0" applyProtection="0"/>
    <xf numFmtId="0" fontId="28" fillId="0" borderId="0" applyNumberFormat="0" applyFill="0" applyBorder="0" applyAlignment="0" applyProtection="0"/>
    <xf numFmtId="49" fontId="29" fillId="0" borderId="0">
      <alignment vertical="top"/>
      <protection locked="0"/>
    </xf>
    <xf numFmtId="0" fontId="37" fillId="0" borderId="0"/>
    <xf numFmtId="0" fontId="5" fillId="0" borderId="0"/>
    <xf numFmtId="0" fontId="5" fillId="0" borderId="0"/>
    <xf numFmtId="0" fontId="4"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9" applyNumberFormat="0" applyFont="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xf numFmtId="0" fontId="5" fillId="0" borderId="0"/>
    <xf numFmtId="0" fontId="5" fillId="0" borderId="0"/>
    <xf numFmtId="164" fontId="36" fillId="0" borderId="0" applyFont="0" applyFill="0" applyBorder="0" applyAlignment="0" applyProtection="0"/>
    <xf numFmtId="0" fontId="4" fillId="0" borderId="0"/>
    <xf numFmtId="0" fontId="66" fillId="0" borderId="0"/>
    <xf numFmtId="0" fontId="73" fillId="0" borderId="0"/>
    <xf numFmtId="9" fontId="4" fillId="0" borderId="0" applyFont="0" applyFill="0" applyBorder="0" applyAlignment="0" applyProtection="0"/>
    <xf numFmtId="0" fontId="80" fillId="0" borderId="0"/>
    <xf numFmtId="0" fontId="4" fillId="0" borderId="0"/>
    <xf numFmtId="0" fontId="82" fillId="0" borderId="0"/>
    <xf numFmtId="0" fontId="4"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6" fillId="0" borderId="0" applyFont="0" applyFill="0" applyBorder="0" applyAlignment="0" applyProtection="0"/>
    <xf numFmtId="0" fontId="4" fillId="0" borderId="0"/>
    <xf numFmtId="0" fontId="4" fillId="0" borderId="0"/>
    <xf numFmtId="44" fontId="36" fillId="0" borderId="0" applyFont="0" applyFill="0" applyBorder="0" applyAlignment="0" applyProtection="0"/>
  </cellStyleXfs>
  <cellXfs count="1377">
    <xf numFmtId="0" fontId="0" fillId="0" borderId="0" xfId="0"/>
    <xf numFmtId="0" fontId="9" fillId="0" borderId="0" xfId="339" applyFont="1" applyAlignment="1">
      <alignment horizontal="center" vertical="top"/>
    </xf>
    <xf numFmtId="0" fontId="9" fillId="0" borderId="0" xfId="339" applyFont="1" applyFill="1" applyAlignment="1">
      <alignment horizontal="center" vertical="top"/>
    </xf>
    <xf numFmtId="0" fontId="0" fillId="0" borderId="0" xfId="0" applyAlignment="1">
      <alignment horizontal="center"/>
    </xf>
    <xf numFmtId="0" fontId="45" fillId="0" borderId="0" xfId="0" applyFont="1" applyBorder="1" applyAlignment="1">
      <alignment vertical="top"/>
    </xf>
    <xf numFmtId="49" fontId="41" fillId="0" borderId="15" xfId="350" applyNumberFormat="1" applyFont="1" applyFill="1" applyBorder="1" applyAlignment="1" applyProtection="1">
      <alignment horizontal="left" vertical="top"/>
    </xf>
    <xf numFmtId="4" fontId="40" fillId="0" borderId="15" xfId="279" applyNumberFormat="1" applyFont="1" applyFill="1" applyBorder="1" applyAlignment="1">
      <alignment vertical="top"/>
    </xf>
    <xf numFmtId="172" fontId="40" fillId="0" borderId="15" xfId="279" applyNumberFormat="1" applyFont="1" applyFill="1" applyBorder="1" applyAlignment="1">
      <alignment vertical="top"/>
    </xf>
    <xf numFmtId="172" fontId="41" fillId="0" borderId="15" xfId="0" applyNumberFormat="1" applyFont="1" applyBorder="1" applyAlignment="1">
      <alignment vertical="top"/>
    </xf>
    <xf numFmtId="0" fontId="41" fillId="0" borderId="0" xfId="339" applyFont="1" applyFill="1" applyAlignment="1">
      <alignment horizontal="center" vertical="top"/>
    </xf>
    <xf numFmtId="49" fontId="42" fillId="0" borderId="25" xfId="0" applyNumberFormat="1" applyFont="1" applyFill="1" applyBorder="1" applyAlignment="1">
      <alignment horizontal="left" vertical="top" wrapText="1"/>
    </xf>
    <xf numFmtId="0" fontId="40" fillId="0" borderId="25" xfId="183" applyNumberFormat="1" applyFont="1" applyFill="1" applyBorder="1" applyAlignment="1">
      <alignment horizontal="left" vertical="top" wrapText="1"/>
    </xf>
    <xf numFmtId="4" fontId="42" fillId="0" borderId="25" xfId="183" applyNumberFormat="1" applyFont="1" applyFill="1" applyBorder="1" applyAlignment="1">
      <alignment horizontal="right" vertical="top" wrapText="1"/>
    </xf>
    <xf numFmtId="172" fontId="42" fillId="0" borderId="25" xfId="183" applyNumberFormat="1" applyFont="1" applyFill="1" applyBorder="1" applyAlignment="1">
      <alignment horizontal="right" vertical="top" wrapText="1"/>
    </xf>
    <xf numFmtId="0" fontId="42" fillId="24" borderId="0" xfId="351" applyNumberFormat="1" applyFont="1" applyFill="1" applyBorder="1" applyAlignment="1" applyProtection="1">
      <alignment horizontal="center" vertical="top" wrapText="1"/>
      <protection locked="0"/>
    </xf>
    <xf numFmtId="0" fontId="42" fillId="24" borderId="0" xfId="372" applyFont="1" applyFill="1" applyBorder="1" applyAlignment="1" applyProtection="1">
      <alignment horizontal="center" vertical="top" wrapText="1"/>
      <protection locked="0"/>
    </xf>
    <xf numFmtId="0" fontId="42" fillId="24" borderId="0" xfId="372" applyFont="1" applyFill="1" applyBorder="1" applyAlignment="1" applyProtection="1">
      <alignment horizontal="center" vertical="top"/>
      <protection locked="0"/>
    </xf>
    <xf numFmtId="4" fontId="42" fillId="24" borderId="0" xfId="372" applyNumberFormat="1" applyFont="1" applyFill="1" applyBorder="1" applyAlignment="1" applyProtection="1">
      <alignment horizontal="center" vertical="top" wrapText="1"/>
      <protection locked="0"/>
    </xf>
    <xf numFmtId="172" fontId="42" fillId="24" borderId="0" xfId="372" applyNumberFormat="1" applyFont="1" applyFill="1" applyBorder="1" applyAlignment="1" applyProtection="1">
      <alignment horizontal="center" vertical="top" wrapText="1"/>
      <protection locked="0"/>
    </xf>
    <xf numFmtId="49" fontId="48" fillId="0" borderId="0" xfId="0" applyNumberFormat="1" applyFont="1" applyBorder="1" applyAlignment="1">
      <alignment horizontal="left" vertical="top" wrapText="1"/>
    </xf>
    <xf numFmtId="0" fontId="48" fillId="0" borderId="0" xfId="0" applyNumberFormat="1" applyFont="1" applyBorder="1" applyAlignment="1">
      <alignment vertical="top" wrapText="1"/>
    </xf>
    <xf numFmtId="4" fontId="45" fillId="0" borderId="0" xfId="0" applyNumberFormat="1" applyFont="1" applyBorder="1" applyAlignment="1">
      <alignment horizontal="right" vertical="top" wrapText="1"/>
    </xf>
    <xf numFmtId="4" fontId="41" fillId="0" borderId="0" xfId="0" applyNumberFormat="1" applyFont="1" applyBorder="1" applyAlignment="1">
      <alignment horizontal="right" vertical="top" wrapText="1"/>
    </xf>
    <xf numFmtId="172" fontId="41" fillId="0" borderId="0" xfId="279" applyNumberFormat="1" applyFont="1" applyBorder="1" applyAlignment="1">
      <alignment horizontal="right" vertical="top" shrinkToFit="1"/>
    </xf>
    <xf numFmtId="172" fontId="45" fillId="0" borderId="0" xfId="0" applyNumberFormat="1" applyFont="1" applyBorder="1" applyAlignment="1">
      <alignment horizontal="right" vertical="top" shrinkToFit="1"/>
    </xf>
    <xf numFmtId="4" fontId="49" fillId="27" borderId="20" xfId="0" applyNumberFormat="1" applyFont="1" applyFill="1" applyBorder="1" applyAlignment="1">
      <alignment horizontal="right" vertical="top" wrapText="1"/>
    </xf>
    <xf numFmtId="172" fontId="46" fillId="27" borderId="20" xfId="279" applyNumberFormat="1" applyFont="1" applyFill="1" applyBorder="1" applyAlignment="1">
      <alignment horizontal="right" vertical="top" shrinkToFit="1"/>
    </xf>
    <xf numFmtId="49" fontId="48" fillId="0" borderId="47" xfId="0" applyNumberFormat="1" applyFont="1" applyBorder="1" applyAlignment="1">
      <alignment horizontal="left" vertical="top" wrapText="1"/>
    </xf>
    <xf numFmtId="0" fontId="48" fillId="0" borderId="23" xfId="0" applyNumberFormat="1" applyFont="1" applyBorder="1" applyAlignment="1">
      <alignment vertical="top" wrapText="1"/>
    </xf>
    <xf numFmtId="4" fontId="45" fillId="0" borderId="28" xfId="0" applyNumberFormat="1" applyFont="1" applyBorder="1" applyAlignment="1">
      <alignment horizontal="right" vertical="top" wrapText="1"/>
    </xf>
    <xf numFmtId="4" fontId="41" fillId="0" borderId="23" xfId="0" applyNumberFormat="1" applyFont="1" applyBorder="1" applyAlignment="1">
      <alignment horizontal="right" vertical="top" wrapText="1"/>
    </xf>
    <xf numFmtId="172" fontId="41" fillId="0" borderId="28" xfId="279" applyNumberFormat="1" applyFont="1" applyBorder="1" applyAlignment="1">
      <alignment horizontal="right" vertical="top" shrinkToFit="1"/>
    </xf>
    <xf numFmtId="172" fontId="45" fillId="0" borderId="48" xfId="0" applyNumberFormat="1" applyFont="1" applyBorder="1" applyAlignment="1">
      <alignment horizontal="right" vertical="top" shrinkToFit="1"/>
    </xf>
    <xf numFmtId="49" fontId="40" fillId="0" borderId="40" xfId="0" applyNumberFormat="1" applyFont="1" applyBorder="1" applyAlignment="1">
      <alignment horizontal="left" vertical="top" wrapText="1"/>
    </xf>
    <xf numFmtId="0" fontId="41" fillId="0" borderId="18" xfId="0" applyFont="1" applyFill="1" applyBorder="1" applyAlignment="1">
      <alignment horizontal="right" vertical="top"/>
    </xf>
    <xf numFmtId="4" fontId="41" fillId="0" borderId="17" xfId="0" applyNumberFormat="1" applyFont="1" applyFill="1" applyBorder="1" applyAlignment="1">
      <alignment horizontal="right" vertical="top"/>
    </xf>
    <xf numFmtId="172" fontId="41" fillId="0" borderId="18" xfId="0" applyNumberFormat="1" applyFont="1" applyFill="1" applyBorder="1" applyAlignment="1">
      <alignment horizontal="right" vertical="top" shrinkToFit="1"/>
    </xf>
    <xf numFmtId="172" fontId="41" fillId="0" borderId="41" xfId="0" applyNumberFormat="1" applyFont="1" applyBorder="1" applyAlignment="1">
      <alignment horizontal="right" vertical="top" shrinkToFit="1"/>
    </xf>
    <xf numFmtId="49" fontId="41" fillId="0" borderId="40" xfId="0" applyNumberFormat="1" applyFont="1" applyBorder="1" applyAlignment="1">
      <alignment horizontal="left" vertical="top" wrapText="1"/>
    </xf>
    <xf numFmtId="0" fontId="41" fillId="0" borderId="17" xfId="0" applyNumberFormat="1" applyFont="1" applyFill="1" applyBorder="1" applyAlignment="1">
      <alignment vertical="top" wrapText="1"/>
    </xf>
    <xf numFmtId="4" fontId="41" fillId="0" borderId="17" xfId="0" applyNumberFormat="1" applyFont="1" applyFill="1" applyBorder="1" applyAlignment="1">
      <alignment horizontal="right" vertical="top" wrapText="1"/>
    </xf>
    <xf numFmtId="172" fontId="41" fillId="0" borderId="41" xfId="0" applyNumberFormat="1" applyFont="1" applyFill="1" applyBorder="1" applyAlignment="1">
      <alignment horizontal="right" vertical="top" shrinkToFit="1"/>
    </xf>
    <xf numFmtId="49" fontId="41" fillId="0" borderId="43" xfId="0" applyNumberFormat="1" applyFont="1" applyBorder="1" applyAlignment="1">
      <alignment horizontal="left" vertical="top" wrapText="1"/>
    </xf>
    <xf numFmtId="0" fontId="41" fillId="0" borderId="24" xfId="0" applyNumberFormat="1" applyFont="1" applyBorder="1" applyAlignment="1">
      <alignment vertical="top" wrapText="1"/>
    </xf>
    <xf numFmtId="0" fontId="41" fillId="0" borderId="19" xfId="0" applyNumberFormat="1" applyFont="1" applyBorder="1" applyAlignment="1">
      <alignment vertical="top" wrapText="1"/>
    </xf>
    <xf numFmtId="4" fontId="41" fillId="25" borderId="24" xfId="0" applyNumberFormat="1" applyFont="1" applyFill="1" applyBorder="1" applyAlignment="1">
      <alignment horizontal="right" vertical="top" wrapText="1"/>
    </xf>
    <xf numFmtId="172" fontId="41" fillId="0" borderId="19" xfId="279" applyNumberFormat="1" applyFont="1" applyBorder="1" applyAlignment="1">
      <alignment horizontal="right" vertical="top" shrinkToFit="1"/>
    </xf>
    <xf numFmtId="172" fontId="41" fillId="0" borderId="44" xfId="0" applyNumberFormat="1" applyFont="1" applyBorder="1" applyAlignment="1">
      <alignment horizontal="right" vertical="top" shrinkToFit="1"/>
    </xf>
    <xf numFmtId="49" fontId="40" fillId="0" borderId="45" xfId="0" applyNumberFormat="1" applyFont="1" applyBorder="1" applyAlignment="1">
      <alignment horizontal="left" vertical="top" wrapText="1"/>
    </xf>
    <xf numFmtId="0" fontId="40" fillId="0" borderId="22" xfId="0" applyNumberFormat="1" applyFont="1" applyBorder="1" applyAlignment="1">
      <alignment vertical="top" wrapText="1"/>
    </xf>
    <xf numFmtId="0" fontId="40" fillId="0" borderId="26" xfId="0" applyNumberFormat="1" applyFont="1" applyBorder="1" applyAlignment="1">
      <alignment vertical="top" wrapText="1"/>
    </xf>
    <xf numFmtId="4" fontId="40" fillId="0" borderId="22" xfId="0" applyNumberFormat="1" applyFont="1" applyBorder="1" applyAlignment="1">
      <alignment horizontal="right" vertical="top" wrapText="1"/>
    </xf>
    <xf numFmtId="172" fontId="40" fillId="0" borderId="26" xfId="279" applyNumberFormat="1" applyFont="1" applyBorder="1" applyAlignment="1">
      <alignment horizontal="right" vertical="top" shrinkToFit="1"/>
    </xf>
    <xf numFmtId="172" fontId="40" fillId="28" borderId="46" xfId="0" applyNumberFormat="1" applyFont="1" applyFill="1" applyBorder="1" applyAlignment="1">
      <alignment horizontal="right" vertical="top" shrinkToFit="1"/>
    </xf>
    <xf numFmtId="172" fontId="41" fillId="0" borderId="18" xfId="279" applyNumberFormat="1" applyFont="1" applyBorder="1" applyAlignment="1">
      <alignment horizontal="right" vertical="top" shrinkToFit="1"/>
    </xf>
    <xf numFmtId="0" fontId="41" fillId="0" borderId="0" xfId="339" applyFont="1" applyFill="1" applyAlignment="1">
      <alignment vertical="top"/>
    </xf>
    <xf numFmtId="172" fontId="41" fillId="0" borderId="42" xfId="0" applyNumberFormat="1" applyFont="1" applyFill="1" applyBorder="1" applyAlignment="1">
      <alignment horizontal="right" vertical="top" shrinkToFit="1"/>
    </xf>
    <xf numFmtId="0" fontId="41" fillId="0" borderId="29" xfId="0" applyNumberFormat="1" applyFont="1" applyFill="1" applyBorder="1" applyAlignment="1">
      <alignment vertical="top" wrapText="1"/>
    </xf>
    <xf numFmtId="0" fontId="41" fillId="0" borderId="18" xfId="0" applyNumberFormat="1" applyFont="1" applyFill="1" applyBorder="1" applyAlignment="1">
      <alignment vertical="top" wrapText="1"/>
    </xf>
    <xf numFmtId="49" fontId="41" fillId="0" borderId="40" xfId="0" applyNumberFormat="1" applyFont="1" applyFill="1" applyBorder="1" applyAlignment="1">
      <alignment horizontal="left" vertical="top" wrapText="1"/>
    </xf>
    <xf numFmtId="4" fontId="46" fillId="27" borderId="21" xfId="0" applyNumberFormat="1" applyFont="1" applyFill="1" applyBorder="1" applyAlignment="1">
      <alignment horizontal="right" vertical="top" wrapText="1"/>
    </xf>
    <xf numFmtId="0" fontId="50" fillId="0" borderId="17" xfId="0" applyNumberFormat="1" applyFont="1" applyBorder="1" applyAlignment="1">
      <alignment vertical="top" wrapText="1"/>
    </xf>
    <xf numFmtId="0" fontId="41" fillId="0" borderId="18" xfId="0" applyFont="1" applyFill="1" applyBorder="1" applyAlignment="1">
      <alignment horizontal="left" vertical="top"/>
    </xf>
    <xf numFmtId="4" fontId="41" fillId="0" borderId="17" xfId="0" applyNumberFormat="1" applyFont="1" applyFill="1" applyBorder="1" applyAlignment="1">
      <alignment vertical="top"/>
    </xf>
    <xf numFmtId="172" fontId="41" fillId="0" borderId="18" xfId="279" applyNumberFormat="1" applyFont="1" applyFill="1" applyBorder="1" applyAlignment="1">
      <alignment vertical="top" shrinkToFit="1"/>
    </xf>
    <xf numFmtId="4" fontId="45" fillId="0" borderId="14" xfId="0" applyNumberFormat="1" applyFont="1" applyBorder="1" applyAlignment="1">
      <alignment horizontal="right" vertical="top" wrapText="1"/>
    </xf>
    <xf numFmtId="4" fontId="41" fillId="0" borderId="14" xfId="0" applyNumberFormat="1" applyFont="1" applyBorder="1" applyAlignment="1">
      <alignment horizontal="right" vertical="top" wrapText="1"/>
    </xf>
    <xf numFmtId="172" fontId="41" fillId="0" borderId="14" xfId="279" applyNumberFormat="1" applyFont="1" applyBorder="1" applyAlignment="1">
      <alignment horizontal="right" vertical="top" wrapText="1"/>
    </xf>
    <xf numFmtId="49" fontId="45" fillId="0" borderId="14" xfId="0" applyNumberFormat="1" applyFont="1" applyBorder="1" applyAlignment="1">
      <alignment vertical="top" wrapText="1"/>
    </xf>
    <xf numFmtId="0" fontId="41" fillId="0" borderId="14" xfId="0" applyNumberFormat="1" applyFont="1" applyBorder="1" applyAlignment="1">
      <alignment vertical="top" wrapText="1"/>
    </xf>
    <xf numFmtId="172" fontId="45" fillId="0" borderId="14" xfId="0" applyNumberFormat="1" applyFont="1" applyBorder="1" applyAlignment="1">
      <alignment horizontal="right" vertical="top"/>
    </xf>
    <xf numFmtId="0" fontId="38" fillId="0" borderId="70" xfId="0" applyFont="1" applyBorder="1"/>
    <xf numFmtId="0" fontId="39" fillId="30" borderId="70" xfId="0" applyFont="1" applyFill="1" applyBorder="1" applyAlignment="1">
      <alignment wrapText="1"/>
    </xf>
    <xf numFmtId="0" fontId="39" fillId="30" borderId="70" xfId="0" applyFont="1" applyFill="1" applyBorder="1" applyAlignment="1"/>
    <xf numFmtId="0" fontId="39" fillId="30" borderId="70" xfId="0" applyFont="1" applyFill="1" applyBorder="1" applyAlignment="1">
      <alignment horizontal="left"/>
    </xf>
    <xf numFmtId="49" fontId="51" fillId="27" borderId="33" xfId="0" applyNumberFormat="1" applyFont="1" applyFill="1" applyBorder="1" applyAlignment="1">
      <alignment horizontal="left" vertical="top" wrapText="1"/>
    </xf>
    <xf numFmtId="0" fontId="51" fillId="27" borderId="21" xfId="0" applyNumberFormat="1" applyFont="1" applyFill="1" applyBorder="1" applyAlignment="1">
      <alignment vertical="top" wrapText="1"/>
    </xf>
    <xf numFmtId="0" fontId="41" fillId="0" borderId="30" xfId="0" applyFont="1" applyFill="1" applyBorder="1" applyAlignment="1">
      <alignment horizontal="left" vertical="top"/>
    </xf>
    <xf numFmtId="4" fontId="41" fillId="0" borderId="29" xfId="0" applyNumberFormat="1" applyFont="1" applyFill="1" applyBorder="1" applyAlignment="1">
      <alignment vertical="top"/>
    </xf>
    <xf numFmtId="172" fontId="41" fillId="0" borderId="30" xfId="279" applyNumberFormat="1" applyFont="1" applyFill="1" applyBorder="1" applyAlignment="1">
      <alignment vertical="top" shrinkToFit="1"/>
    </xf>
    <xf numFmtId="172" fontId="43" fillId="27" borderId="32" xfId="0" applyNumberFormat="1" applyFont="1" applyFill="1" applyBorder="1" applyAlignment="1">
      <alignment horizontal="right" vertical="top" shrinkToFit="1"/>
    </xf>
    <xf numFmtId="172" fontId="41" fillId="0" borderId="30" xfId="279" applyNumberFormat="1" applyFont="1" applyBorder="1" applyAlignment="1">
      <alignment horizontal="right" vertical="top" shrinkToFit="1"/>
    </xf>
    <xf numFmtId="4" fontId="41" fillId="0" borderId="29" xfId="0" applyNumberFormat="1" applyFont="1" applyFill="1" applyBorder="1" applyAlignment="1">
      <alignment horizontal="right" vertical="top" wrapText="1"/>
    </xf>
    <xf numFmtId="2" fontId="58" fillId="0" borderId="0" xfId="344" applyNumberFormat="1" applyFont="1" applyFill="1" applyAlignment="1" applyProtection="1">
      <alignment horizontal="left" vertical="top"/>
    </xf>
    <xf numFmtId="4" fontId="58" fillId="0" borderId="0" xfId="982" applyNumberFormat="1" applyFont="1" applyAlignment="1" applyProtection="1">
      <alignment horizontal="center" vertical="top"/>
    </xf>
    <xf numFmtId="4" fontId="58" fillId="0" borderId="0" xfId="982" applyNumberFormat="1" applyFont="1" applyBorder="1" applyAlignment="1" applyProtection="1">
      <alignment horizontal="center" vertical="top"/>
    </xf>
    <xf numFmtId="4" fontId="53" fillId="0" borderId="0" xfId="982" applyNumberFormat="1" applyFont="1" applyAlignment="1" applyProtection="1">
      <alignment horizontal="left" vertical="top" wrapText="1"/>
    </xf>
    <xf numFmtId="4" fontId="58" fillId="0" borderId="0" xfId="982" applyNumberFormat="1" applyFont="1" applyBorder="1" applyAlignment="1" applyProtection="1">
      <alignment horizontal="left"/>
    </xf>
    <xf numFmtId="4" fontId="58" fillId="0" borderId="0" xfId="982" applyNumberFormat="1" applyFont="1" applyFill="1" applyBorder="1" applyAlignment="1" applyProtection="1">
      <alignment horizontal="center" vertical="top"/>
    </xf>
    <xf numFmtId="4" fontId="53" fillId="0" borderId="0" xfId="982" applyNumberFormat="1" applyFont="1" applyFill="1" applyAlignment="1" applyProtection="1">
      <alignment horizontal="left" vertical="top" wrapText="1"/>
    </xf>
    <xf numFmtId="4" fontId="58" fillId="0" borderId="0" xfId="982" applyNumberFormat="1" applyFont="1" applyFill="1" applyBorder="1" applyAlignment="1" applyProtection="1">
      <alignment horizontal="left"/>
    </xf>
    <xf numFmtId="4" fontId="57" fillId="0" borderId="0" xfId="982" applyNumberFormat="1" applyFont="1" applyFill="1" applyAlignment="1" applyProtection="1">
      <alignment horizontal="left" vertical="top" wrapText="1"/>
    </xf>
    <xf numFmtId="4" fontId="58" fillId="0" borderId="0" xfId="982" applyNumberFormat="1" applyFont="1" applyFill="1" applyAlignment="1" applyProtection="1">
      <alignment horizontal="left" vertical="top" wrapText="1"/>
    </xf>
    <xf numFmtId="4" fontId="58" fillId="0" borderId="72" xfId="982" applyNumberFormat="1" applyFont="1" applyFill="1" applyBorder="1" applyAlignment="1" applyProtection="1"/>
    <xf numFmtId="4" fontId="58" fillId="0" borderId="0" xfId="982" applyNumberFormat="1" applyFont="1" applyFill="1" applyBorder="1" applyAlignment="1" applyProtection="1"/>
    <xf numFmtId="4" fontId="58" fillId="0" borderId="0" xfId="982" applyNumberFormat="1" applyFont="1" applyAlignment="1" applyProtection="1">
      <alignment horizontal="left"/>
    </xf>
    <xf numFmtId="4" fontId="58" fillId="0" borderId="13" xfId="982" applyNumberFormat="1" applyFont="1" applyBorder="1" applyAlignment="1" applyProtection="1">
      <alignment horizontal="left" vertical="top" wrapText="1"/>
    </xf>
    <xf numFmtId="4" fontId="58" fillId="0" borderId="13" xfId="982" applyNumberFormat="1" applyFont="1" applyBorder="1" applyAlignment="1" applyProtection="1">
      <alignment horizontal="left"/>
    </xf>
    <xf numFmtId="4" fontId="58" fillId="0" borderId="0" xfId="982" applyNumberFormat="1" applyFont="1" applyAlignment="1" applyProtection="1">
      <alignment vertical="top"/>
    </xf>
    <xf numFmtId="4" fontId="57" fillId="0" borderId="0" xfId="982" applyNumberFormat="1" applyFont="1" applyAlignment="1" applyProtection="1">
      <alignment horizontal="left" vertical="top" wrapText="1"/>
    </xf>
    <xf numFmtId="4" fontId="57" fillId="0" borderId="0" xfId="982" applyNumberFormat="1" applyFont="1" applyAlignment="1" applyProtection="1">
      <alignment horizontal="left"/>
    </xf>
    <xf numFmtId="4" fontId="58" fillId="0" borderId="0" xfId="982" applyNumberFormat="1" applyFont="1" applyAlignment="1" applyProtection="1">
      <alignment horizontal="left" vertical="top" wrapText="1"/>
    </xf>
    <xf numFmtId="4" fontId="52" fillId="0" borderId="0" xfId="982" applyNumberFormat="1" applyFont="1" applyAlignment="1" applyProtection="1">
      <alignment horizontal="center" vertical="top"/>
    </xf>
    <xf numFmtId="4" fontId="52" fillId="0" borderId="13" xfId="982" applyNumberFormat="1" applyFont="1" applyBorder="1" applyAlignment="1" applyProtection="1">
      <alignment vertical="top"/>
    </xf>
    <xf numFmtId="4" fontId="52" fillId="0" borderId="13" xfId="982" applyNumberFormat="1" applyFont="1" applyBorder="1" applyAlignment="1" applyProtection="1">
      <alignment horizontal="left"/>
    </xf>
    <xf numFmtId="4" fontId="52" fillId="0" borderId="0" xfId="982" applyNumberFormat="1" applyFont="1" applyAlignment="1" applyProtection="1">
      <alignment vertical="top"/>
    </xf>
    <xf numFmtId="4" fontId="52" fillId="0" borderId="0" xfId="982" applyNumberFormat="1" applyFont="1" applyAlignment="1" applyProtection="1">
      <alignment horizontal="left"/>
    </xf>
    <xf numFmtId="4" fontId="52" fillId="0" borderId="0" xfId="981" applyNumberFormat="1" applyFont="1" applyAlignment="1" applyProtection="1">
      <alignment horizontal="left"/>
    </xf>
    <xf numFmtId="4" fontId="60" fillId="0" borderId="0" xfId="982" applyNumberFormat="1" applyFont="1" applyAlignment="1" applyProtection="1">
      <alignment horizontal="center" vertical="top"/>
    </xf>
    <xf numFmtId="4" fontId="52" fillId="0" borderId="26" xfId="982" applyNumberFormat="1" applyFont="1" applyBorder="1" applyAlignment="1" applyProtection="1">
      <alignment vertical="top"/>
    </xf>
    <xf numFmtId="4" fontId="52" fillId="0" borderId="26" xfId="982" applyNumberFormat="1" applyFont="1" applyBorder="1" applyAlignment="1" applyProtection="1">
      <alignment horizontal="left"/>
    </xf>
    <xf numFmtId="0" fontId="0" fillId="0" borderId="0" xfId="0" applyFill="1"/>
    <xf numFmtId="0" fontId="4" fillId="0" borderId="0" xfId="0" applyFont="1" applyAlignment="1">
      <alignment vertical="top"/>
    </xf>
    <xf numFmtId="0" fontId="62" fillId="0" borderId="0" xfId="0" applyFont="1" applyAlignment="1">
      <alignment horizontal="center"/>
    </xf>
    <xf numFmtId="4" fontId="62" fillId="0" borderId="0" xfId="0" applyNumberFormat="1" applyFont="1" applyAlignment="1">
      <alignment horizontal="right"/>
    </xf>
    <xf numFmtId="0" fontId="4" fillId="0" borderId="0" xfId="0" applyFont="1"/>
    <xf numFmtId="0" fontId="62" fillId="0" borderId="0" xfId="0" applyFont="1" applyAlignment="1">
      <alignment vertical="top" wrapText="1"/>
    </xf>
    <xf numFmtId="0" fontId="62" fillId="0" borderId="0" xfId="0" applyFont="1"/>
    <xf numFmtId="0" fontId="62" fillId="0" borderId="0" xfId="0" applyFont="1" applyAlignment="1">
      <alignment vertical="top"/>
    </xf>
    <xf numFmtId="173" fontId="64" fillId="0" borderId="0" xfId="0" applyNumberFormat="1" applyFont="1" applyBorder="1" applyAlignment="1">
      <alignment horizontal="center"/>
    </xf>
    <xf numFmtId="0" fontId="64" fillId="0" borderId="0" xfId="0" applyFont="1" applyFill="1" applyBorder="1"/>
    <xf numFmtId="2" fontId="64" fillId="0" borderId="0" xfId="166" applyNumberFormat="1" applyFont="1" applyBorder="1" applyAlignment="1">
      <alignment horizontal="center"/>
    </xf>
    <xf numFmtId="0" fontId="64" fillId="0" borderId="0" xfId="0" applyFont="1" applyBorder="1"/>
    <xf numFmtId="4" fontId="64" fillId="0" borderId="0" xfId="166" applyNumberFormat="1" applyFont="1" applyBorder="1" applyAlignment="1">
      <alignment horizontal="right"/>
    </xf>
    <xf numFmtId="0" fontId="63" fillId="0" borderId="0" xfId="0" applyFont="1" applyBorder="1" applyAlignment="1">
      <alignment wrapText="1"/>
    </xf>
    <xf numFmtId="0" fontId="63" fillId="0" borderId="0" xfId="0" applyFont="1" applyBorder="1" applyAlignment="1">
      <alignment horizontal="center"/>
    </xf>
    <xf numFmtId="0" fontId="65" fillId="0" borderId="0" xfId="0" applyFont="1" applyBorder="1" applyAlignment="1">
      <alignment horizontal="center" vertical="top"/>
    </xf>
    <xf numFmtId="0" fontId="65" fillId="0" borderId="0" xfId="0" applyFont="1" applyBorder="1" applyAlignment="1">
      <alignment horizontal="left" wrapText="1"/>
    </xf>
    <xf numFmtId="0" fontId="65" fillId="0" borderId="0" xfId="0" applyFont="1" applyBorder="1" applyAlignment="1">
      <alignment horizontal="center"/>
    </xf>
    <xf numFmtId="173" fontId="65" fillId="0" borderId="0" xfId="0" applyNumberFormat="1" applyFont="1" applyBorder="1" applyAlignment="1">
      <alignment horizontal="center"/>
    </xf>
    <xf numFmtId="0" fontId="65" fillId="0" borderId="0" xfId="0" applyFont="1" applyFill="1" applyBorder="1"/>
    <xf numFmtId="2" fontId="65" fillId="0" borderId="0" xfId="166" applyNumberFormat="1" applyFont="1" applyBorder="1" applyAlignment="1">
      <alignment horizontal="center"/>
    </xf>
    <xf numFmtId="0" fontId="65" fillId="0" borderId="0" xfId="0" applyFont="1" applyBorder="1"/>
    <xf numFmtId="4" fontId="65" fillId="0" borderId="0" xfId="166" applyNumberFormat="1" applyFont="1" applyBorder="1" applyAlignment="1">
      <alignment horizontal="right"/>
    </xf>
    <xf numFmtId="0" fontId="64" fillId="0" borderId="0" xfId="0" applyFont="1" applyBorder="1" applyAlignment="1">
      <alignment horizontal="center" vertical="top"/>
    </xf>
    <xf numFmtId="4" fontId="4" fillId="0" borderId="0" xfId="0" applyNumberFormat="1" applyFont="1" applyAlignment="1">
      <alignment horizontal="right"/>
    </xf>
    <xf numFmtId="4" fontId="4" fillId="0" borderId="0" xfId="0" applyNumberFormat="1" applyFont="1" applyAlignment="1">
      <alignment horizontal="center"/>
    </xf>
    <xf numFmtId="1" fontId="4" fillId="0" borderId="0" xfId="0" applyNumberFormat="1" applyFont="1" applyAlignment="1">
      <alignment wrapText="1"/>
    </xf>
    <xf numFmtId="0" fontId="4" fillId="0" borderId="0" xfId="0" applyFont="1" applyAlignment="1">
      <alignment horizontal="center" wrapText="1"/>
    </xf>
    <xf numFmtId="4" fontId="4" fillId="0" borderId="0" xfId="0" applyNumberFormat="1" applyFont="1"/>
    <xf numFmtId="2" fontId="4" fillId="0" borderId="0" xfId="0" applyNumberFormat="1" applyFont="1"/>
    <xf numFmtId="0" fontId="4" fillId="0" borderId="0" xfId="0" applyFont="1" applyAlignment="1">
      <alignment vertical="top" wrapText="1"/>
    </xf>
    <xf numFmtId="4" fontId="4" fillId="0" borderId="0" xfId="0" applyNumberFormat="1" applyFont="1" applyAlignment="1">
      <alignment horizontal="right" wrapText="1"/>
    </xf>
    <xf numFmtId="1" fontId="4" fillId="0" borderId="0" xfId="0" applyNumberFormat="1" applyFont="1" applyAlignment="1">
      <alignment vertical="top" wrapText="1"/>
    </xf>
    <xf numFmtId="0" fontId="4" fillId="0" borderId="0" xfId="0" applyFont="1" applyAlignment="1">
      <alignment horizontal="center"/>
    </xf>
    <xf numFmtId="0" fontId="0" fillId="0" borderId="0" xfId="0" applyProtection="1">
      <protection locked="0"/>
    </xf>
    <xf numFmtId="4" fontId="41" fillId="31" borderId="17" xfId="0" applyNumberFormat="1" applyFont="1" applyFill="1" applyBorder="1" applyAlignment="1">
      <alignment horizontal="right" vertical="top" wrapText="1"/>
    </xf>
    <xf numFmtId="4" fontId="70" fillId="0" borderId="0" xfId="0" applyNumberFormat="1" applyFont="1" applyFill="1" applyBorder="1" applyProtection="1"/>
    <xf numFmtId="0" fontId="71" fillId="0" borderId="0" xfId="0" applyFont="1" applyBorder="1" applyAlignment="1" applyProtection="1">
      <protection locked="0"/>
    </xf>
    <xf numFmtId="0" fontId="72" fillId="0" borderId="0" xfId="0" applyFont="1" applyAlignment="1">
      <alignment wrapText="1"/>
    </xf>
    <xf numFmtId="0" fontId="72" fillId="0" borderId="0" xfId="0" applyFont="1"/>
    <xf numFmtId="4" fontId="69" fillId="0" borderId="0" xfId="0" applyNumberFormat="1" applyFont="1" applyFill="1" applyBorder="1" applyProtection="1"/>
    <xf numFmtId="0" fontId="41" fillId="0" borderId="74" xfId="0" applyNumberFormat="1" applyFont="1" applyFill="1" applyBorder="1" applyAlignment="1">
      <alignment vertical="top" wrapText="1"/>
    </xf>
    <xf numFmtId="0" fontId="40" fillId="0" borderId="0" xfId="984" applyFont="1" applyAlignment="1">
      <alignment horizontal="center"/>
    </xf>
    <xf numFmtId="0" fontId="46" fillId="0" borderId="0" xfId="984" applyFont="1"/>
    <xf numFmtId="0" fontId="46" fillId="0" borderId="0" xfId="984" applyFont="1" applyAlignment="1">
      <alignment wrapText="1"/>
    </xf>
    <xf numFmtId="3" fontId="46" fillId="0" borderId="0" xfId="984" applyNumberFormat="1" applyFont="1"/>
    <xf numFmtId="4" fontId="46" fillId="0" borderId="0" xfId="984" applyNumberFormat="1" applyFont="1"/>
    <xf numFmtId="0" fontId="40" fillId="0" borderId="0" xfId="984" applyFont="1" applyAlignment="1">
      <alignment horizontal="right"/>
    </xf>
    <xf numFmtId="0" fontId="74" fillId="0" borderId="0" xfId="984" applyFont="1"/>
    <xf numFmtId="49" fontId="41" fillId="0" borderId="0" xfId="984" applyNumberFormat="1" applyFont="1" applyAlignment="1">
      <alignment vertical="top"/>
    </xf>
    <xf numFmtId="174" fontId="7" fillId="0" borderId="75" xfId="988" applyNumberFormat="1" applyFont="1" applyFill="1" applyBorder="1" applyAlignment="1" applyProtection="1">
      <alignment horizontal="right"/>
    </xf>
    <xf numFmtId="0" fontId="7" fillId="0" borderId="75" xfId="988" applyFont="1" applyFill="1" applyBorder="1" applyAlignment="1" applyProtection="1">
      <alignment horizontal="right"/>
    </xf>
    <xf numFmtId="0" fontId="7" fillId="0" borderId="75" xfId="988" applyFont="1" applyFill="1" applyBorder="1" applyAlignment="1" applyProtection="1">
      <alignment horizontal="center"/>
    </xf>
    <xf numFmtId="0" fontId="79" fillId="0" borderId="75" xfId="988" applyFont="1" applyFill="1" applyBorder="1" applyAlignment="1" applyProtection="1">
      <alignment horizontal="left" vertical="top"/>
    </xf>
    <xf numFmtId="4" fontId="41" fillId="0" borderId="23" xfId="0" applyNumberFormat="1" applyFont="1" applyFill="1" applyBorder="1" applyAlignment="1">
      <alignment horizontal="right" vertical="top"/>
    </xf>
    <xf numFmtId="172" fontId="41" fillId="0" borderId="28" xfId="0" applyNumberFormat="1" applyFont="1" applyFill="1" applyBorder="1" applyAlignment="1">
      <alignment horizontal="right" vertical="top" shrinkToFit="1"/>
    </xf>
    <xf numFmtId="0" fontId="92" fillId="0" borderId="0" xfId="0" applyFont="1" applyBorder="1" applyAlignment="1">
      <alignment vertical="top" wrapText="1"/>
    </xf>
    <xf numFmtId="0" fontId="92" fillId="0" borderId="13" xfId="338" applyFont="1" applyBorder="1" applyAlignment="1" applyProtection="1">
      <alignment horizontal="center" vertical="top"/>
    </xf>
    <xf numFmtId="0" fontId="92" fillId="0" borderId="13" xfId="338" applyFont="1" applyBorder="1" applyAlignment="1" applyProtection="1">
      <alignment horizontal="justify"/>
    </xf>
    <xf numFmtId="4" fontId="92" fillId="0" borderId="13" xfId="338" applyNumberFormat="1" applyFont="1" applyBorder="1" applyAlignment="1" applyProtection="1">
      <alignment horizontal="center"/>
    </xf>
    <xf numFmtId="172" fontId="93" fillId="26" borderId="61" xfId="0" applyNumberFormat="1" applyFont="1" applyFill="1" applyBorder="1" applyAlignment="1">
      <alignment horizontal="center" vertical="top" wrapText="1"/>
    </xf>
    <xf numFmtId="0" fontId="93" fillId="0" borderId="15" xfId="0" applyNumberFormat="1" applyFont="1" applyBorder="1" applyAlignment="1">
      <alignment vertical="top" wrapText="1"/>
    </xf>
    <xf numFmtId="4" fontId="93" fillId="0" borderId="62" xfId="0" applyNumberFormat="1" applyFont="1" applyBorder="1" applyAlignment="1"/>
    <xf numFmtId="0" fontId="93" fillId="0" borderId="0" xfId="0" applyNumberFormat="1" applyFont="1" applyBorder="1" applyAlignment="1">
      <alignment vertical="top" wrapText="1"/>
    </xf>
    <xf numFmtId="4" fontId="93" fillId="0" borderId="73" xfId="0" applyNumberFormat="1" applyFont="1" applyBorder="1" applyAlignment="1"/>
    <xf numFmtId="0" fontId="93" fillId="0" borderId="0" xfId="351" applyFont="1" applyBorder="1" applyAlignment="1" applyProtection="1">
      <alignment horizontal="center" wrapText="1"/>
    </xf>
    <xf numFmtId="49" fontId="93" fillId="0" borderId="71" xfId="0" applyNumberFormat="1" applyFont="1" applyBorder="1" applyAlignment="1">
      <alignment vertical="top" wrapText="1"/>
    </xf>
    <xf numFmtId="0" fontId="92" fillId="0" borderId="71" xfId="0" applyFont="1" applyBorder="1" applyAlignment="1">
      <alignment vertical="top" wrapText="1"/>
    </xf>
    <xf numFmtId="0" fontId="93" fillId="0" borderId="71" xfId="0" applyNumberFormat="1" applyFont="1" applyBorder="1" applyAlignment="1">
      <alignment vertical="top" wrapText="1"/>
    </xf>
    <xf numFmtId="4" fontId="93" fillId="0" borderId="71" xfId="0" applyNumberFormat="1" applyFont="1" applyBorder="1" applyAlignment="1"/>
    <xf numFmtId="0" fontId="92" fillId="0" borderId="15" xfId="0" applyFont="1" applyBorder="1" applyAlignment="1">
      <alignment vertical="top" wrapText="1"/>
    </xf>
    <xf numFmtId="0" fontId="92" fillId="0" borderId="14" xfId="0" applyFont="1" applyBorder="1" applyAlignment="1">
      <alignment vertical="top" wrapText="1"/>
    </xf>
    <xf numFmtId="0" fontId="41" fillId="0" borderId="6" xfId="0" applyNumberFormat="1" applyFont="1" applyFill="1" applyBorder="1" applyAlignment="1">
      <alignment vertical="top" wrapText="1"/>
    </xf>
    <xf numFmtId="0" fontId="41" fillId="0" borderId="0" xfId="0" applyFont="1" applyFill="1" applyBorder="1" applyAlignment="1">
      <alignment horizontal="left" vertical="top"/>
    </xf>
    <xf numFmtId="4" fontId="41" fillId="0" borderId="6" xfId="0" applyNumberFormat="1" applyFont="1" applyFill="1" applyBorder="1" applyAlignment="1">
      <alignment vertical="top"/>
    </xf>
    <xf numFmtId="172" fontId="41" fillId="0" borderId="0" xfId="279" applyNumberFormat="1" applyFont="1" applyFill="1" applyBorder="1" applyAlignment="1">
      <alignment vertical="top" shrinkToFit="1"/>
    </xf>
    <xf numFmtId="0" fontId="38" fillId="0" borderId="0" xfId="0" applyFont="1"/>
    <xf numFmtId="0" fontId="40" fillId="0" borderId="0" xfId="990" applyFont="1" applyBorder="1"/>
    <xf numFmtId="0" fontId="41" fillId="0" borderId="0" xfId="990" applyFont="1"/>
    <xf numFmtId="0" fontId="41" fillId="0" borderId="0" xfId="990" applyFont="1" applyBorder="1"/>
    <xf numFmtId="4" fontId="41" fillId="0" borderId="0" xfId="990" applyNumberFormat="1" applyFont="1" applyBorder="1" applyAlignment="1">
      <alignment horizontal="justify" vertical="center"/>
    </xf>
    <xf numFmtId="0" fontId="41" fillId="0" borderId="0" xfId="990" applyFont="1" applyBorder="1" applyAlignment="1">
      <alignment horizontal="justify"/>
    </xf>
    <xf numFmtId="0" fontId="96" fillId="0" borderId="0" xfId="990" applyFont="1" applyBorder="1"/>
    <xf numFmtId="4" fontId="40" fillId="0" borderId="0" xfId="990" applyNumberFormat="1" applyFont="1" applyBorder="1" applyAlignment="1">
      <alignment vertical="top" wrapText="1"/>
    </xf>
    <xf numFmtId="4" fontId="96" fillId="0" borderId="0" xfId="990" applyNumberFormat="1" applyFont="1" applyBorder="1" applyAlignment="1">
      <alignment vertical="top" wrapText="1"/>
    </xf>
    <xf numFmtId="0" fontId="41" fillId="0" borderId="0" xfId="990" applyFont="1" applyBorder="1" applyAlignment="1">
      <alignment wrapText="1"/>
    </xf>
    <xf numFmtId="0" fontId="41" fillId="0" borderId="0" xfId="990" applyFont="1" applyAlignment="1">
      <alignment wrapText="1"/>
    </xf>
    <xf numFmtId="0" fontId="40" fillId="0" borderId="0" xfId="990" applyFont="1" applyBorder="1" applyAlignment="1">
      <alignment wrapText="1"/>
    </xf>
    <xf numFmtId="0" fontId="48" fillId="0" borderId="6" xfId="0" applyNumberFormat="1" applyFont="1" applyBorder="1" applyAlignment="1">
      <alignment vertical="top" wrapText="1"/>
    </xf>
    <xf numFmtId="49" fontId="41" fillId="0" borderId="0" xfId="984" applyNumberFormat="1" applyFont="1" applyBorder="1" applyAlignment="1">
      <alignment vertical="top"/>
    </xf>
    <xf numFmtId="0" fontId="46" fillId="0" borderId="0" xfId="984" applyFont="1" applyBorder="1"/>
    <xf numFmtId="0" fontId="46" fillId="0" borderId="0" xfId="984" applyFont="1" applyBorder="1" applyAlignment="1">
      <alignment wrapText="1"/>
    </xf>
    <xf numFmtId="0" fontId="74" fillId="0" borderId="0" xfId="984" applyFont="1" applyBorder="1"/>
    <xf numFmtId="0" fontId="40" fillId="0" borderId="0" xfId="984" applyFont="1" applyBorder="1" applyAlignment="1">
      <alignment horizontal="center"/>
    </xf>
    <xf numFmtId="0" fontId="40" fillId="0" borderId="0" xfId="984" applyFont="1" applyBorder="1" applyAlignment="1">
      <alignment horizontal="right"/>
    </xf>
    <xf numFmtId="4" fontId="46" fillId="0" borderId="0" xfId="984" applyNumberFormat="1" applyFont="1" applyBorder="1"/>
    <xf numFmtId="3" fontId="46" fillId="0" borderId="0" xfId="984" applyNumberFormat="1" applyFont="1" applyBorder="1"/>
    <xf numFmtId="0" fontId="40" fillId="0" borderId="17" xfId="0" applyNumberFormat="1" applyFont="1" applyFill="1" applyBorder="1" applyAlignment="1">
      <alignment vertical="top" wrapText="1"/>
    </xf>
    <xf numFmtId="0" fontId="0" fillId="0" borderId="0" xfId="0" applyAlignment="1">
      <alignment horizontal="left" vertical="top"/>
    </xf>
    <xf numFmtId="0" fontId="41" fillId="0" borderId="0" xfId="339" applyFont="1" applyFill="1" applyAlignment="1">
      <alignment horizontal="left" vertical="top"/>
    </xf>
    <xf numFmtId="0" fontId="69" fillId="0" borderId="0" xfId="0" applyFont="1" applyFill="1" applyAlignment="1">
      <alignment horizontal="left" vertical="top"/>
    </xf>
    <xf numFmtId="0" fontId="0" fillId="0" borderId="0" xfId="0" applyFill="1" applyAlignment="1">
      <alignment horizontal="left" vertical="top"/>
    </xf>
    <xf numFmtId="0" fontId="40" fillId="0" borderId="29" xfId="0" applyNumberFormat="1" applyFont="1" applyBorder="1" applyAlignment="1">
      <alignment vertical="top" wrapText="1"/>
    </xf>
    <xf numFmtId="0" fontId="41" fillId="0" borderId="86" xfId="0" applyNumberFormat="1" applyFont="1" applyFill="1" applyBorder="1" applyAlignment="1">
      <alignment vertical="top" wrapText="1"/>
    </xf>
    <xf numFmtId="172" fontId="41" fillId="0" borderId="30" xfId="279" applyNumberFormat="1" applyFont="1" applyFill="1" applyBorder="1" applyAlignment="1">
      <alignment horizontal="right" vertical="top" shrinkToFit="1"/>
    </xf>
    <xf numFmtId="4" fontId="97" fillId="0" borderId="0" xfId="0" applyNumberFormat="1" applyFont="1" applyFill="1"/>
    <xf numFmtId="0" fontId="97" fillId="0" borderId="0" xfId="0" applyFont="1" applyFill="1"/>
    <xf numFmtId="0" fontId="40" fillId="0" borderId="17" xfId="0" applyNumberFormat="1" applyFont="1" applyBorder="1" applyAlignment="1">
      <alignment vertical="top" wrapText="1"/>
    </xf>
    <xf numFmtId="0" fontId="0" fillId="0" borderId="0" xfId="0" applyFill="1" applyAlignment="1">
      <alignment wrapText="1"/>
    </xf>
    <xf numFmtId="0" fontId="76" fillId="0" borderId="17" xfId="0" applyNumberFormat="1" applyFont="1" applyFill="1" applyBorder="1" applyAlignment="1">
      <alignment vertical="top" wrapText="1"/>
    </xf>
    <xf numFmtId="0" fontId="40" fillId="0" borderId="0" xfId="990" applyFont="1" applyAlignment="1">
      <alignment wrapText="1"/>
    </xf>
    <xf numFmtId="172" fontId="41" fillId="0" borderId="48" xfId="0" applyNumberFormat="1" applyFont="1" applyFill="1" applyBorder="1" applyAlignment="1">
      <alignment horizontal="right" vertical="top" shrinkToFit="1"/>
    </xf>
    <xf numFmtId="0" fontId="41" fillId="0" borderId="30" xfId="0" applyNumberFormat="1" applyFont="1" applyFill="1" applyBorder="1" applyAlignment="1">
      <alignment vertical="top" wrapText="1"/>
    </xf>
    <xf numFmtId="0" fontId="41" fillId="0" borderId="0" xfId="0" applyNumberFormat="1" applyFont="1" applyFill="1" applyBorder="1" applyAlignment="1">
      <alignment vertical="top" wrapText="1"/>
    </xf>
    <xf numFmtId="0" fontId="0" fillId="0" borderId="0" xfId="0"/>
    <xf numFmtId="0" fontId="41" fillId="0" borderId="0" xfId="339" applyFont="1" applyFill="1" applyAlignment="1">
      <alignment horizontal="center" vertical="top"/>
    </xf>
    <xf numFmtId="49" fontId="40" fillId="0" borderId="40" xfId="0" applyNumberFormat="1" applyFont="1" applyBorder="1" applyAlignment="1">
      <alignment horizontal="left" vertical="top" wrapText="1"/>
    </xf>
    <xf numFmtId="0" fontId="41" fillId="0" borderId="18" xfId="0" applyFont="1" applyFill="1" applyBorder="1" applyAlignment="1">
      <alignment horizontal="right" vertical="top"/>
    </xf>
    <xf numFmtId="4" fontId="41" fillId="0" borderId="17" xfId="0" applyNumberFormat="1" applyFont="1" applyFill="1" applyBorder="1" applyAlignment="1">
      <alignment horizontal="right" vertical="top"/>
    </xf>
    <xf numFmtId="172" fontId="41" fillId="0" borderId="18" xfId="0" applyNumberFormat="1" applyFont="1" applyFill="1" applyBorder="1" applyAlignment="1">
      <alignment horizontal="right" vertical="top" shrinkToFit="1"/>
    </xf>
    <xf numFmtId="172" fontId="41" fillId="0" borderId="41" xfId="0" applyNumberFormat="1" applyFont="1" applyBorder="1" applyAlignment="1">
      <alignment horizontal="right" vertical="top" shrinkToFit="1"/>
    </xf>
    <xf numFmtId="49" fontId="41" fillId="0" borderId="40" xfId="0" applyNumberFormat="1" applyFont="1" applyBorder="1" applyAlignment="1">
      <alignment horizontal="left" vertical="top" wrapText="1"/>
    </xf>
    <xf numFmtId="0" fontId="41" fillId="0" borderId="17" xfId="0" applyNumberFormat="1" applyFont="1" applyFill="1" applyBorder="1" applyAlignment="1">
      <alignment vertical="top" wrapText="1"/>
    </xf>
    <xf numFmtId="172" fontId="41" fillId="0" borderId="41" xfId="0" applyNumberFormat="1" applyFont="1" applyFill="1" applyBorder="1" applyAlignment="1">
      <alignment horizontal="right" vertical="top" shrinkToFit="1"/>
    </xf>
    <xf numFmtId="49" fontId="41" fillId="0" borderId="43" xfId="0" applyNumberFormat="1" applyFont="1" applyBorder="1" applyAlignment="1">
      <alignment horizontal="left" vertical="top" wrapText="1"/>
    </xf>
    <xf numFmtId="0" fontId="41" fillId="0" borderId="24" xfId="0" applyNumberFormat="1" applyFont="1" applyBorder="1" applyAlignment="1">
      <alignment vertical="top" wrapText="1"/>
    </xf>
    <xf numFmtId="0" fontId="41" fillId="0" borderId="19" xfId="0" applyNumberFormat="1" applyFont="1" applyBorder="1" applyAlignment="1">
      <alignment vertical="top" wrapText="1"/>
    </xf>
    <xf numFmtId="4" fontId="41" fillId="25" borderId="24" xfId="0" applyNumberFormat="1" applyFont="1" applyFill="1" applyBorder="1" applyAlignment="1">
      <alignment horizontal="right" vertical="top" wrapText="1"/>
    </xf>
    <xf numFmtId="172" fontId="41" fillId="0" borderId="19" xfId="279" applyNumberFormat="1" applyFont="1" applyBorder="1" applyAlignment="1">
      <alignment horizontal="right" vertical="top" shrinkToFit="1"/>
    </xf>
    <xf numFmtId="172" fontId="41" fillId="0" borderId="44" xfId="0" applyNumberFormat="1" applyFont="1" applyBorder="1" applyAlignment="1">
      <alignment horizontal="right" vertical="top" shrinkToFit="1"/>
    </xf>
    <xf numFmtId="49" fontId="40" fillId="0" borderId="45" xfId="0" applyNumberFormat="1" applyFont="1" applyBorder="1" applyAlignment="1">
      <alignment horizontal="left" vertical="top" wrapText="1"/>
    </xf>
    <xf numFmtId="0" fontId="40" fillId="0" borderId="22" xfId="0" applyNumberFormat="1" applyFont="1" applyBorder="1" applyAlignment="1">
      <alignment vertical="top" wrapText="1"/>
    </xf>
    <xf numFmtId="0" fontId="40" fillId="0" borderId="26" xfId="0" applyNumberFormat="1" applyFont="1" applyBorder="1" applyAlignment="1">
      <alignment vertical="top" wrapText="1"/>
    </xf>
    <xf numFmtId="4" fontId="40" fillId="0" borderId="22" xfId="0" applyNumberFormat="1" applyFont="1" applyBorder="1" applyAlignment="1">
      <alignment horizontal="right" vertical="top" wrapText="1"/>
    </xf>
    <xf numFmtId="172" fontId="40" fillId="0" borderId="26" xfId="279" applyNumberFormat="1" applyFont="1" applyBorder="1" applyAlignment="1">
      <alignment horizontal="right" vertical="top" shrinkToFit="1"/>
    </xf>
    <xf numFmtId="172" fontId="40" fillId="28" borderId="46" xfId="0" applyNumberFormat="1" applyFont="1" applyFill="1" applyBorder="1" applyAlignment="1">
      <alignment horizontal="right" vertical="top" shrinkToFit="1"/>
    </xf>
    <xf numFmtId="0" fontId="41" fillId="0" borderId="18" xfId="0" applyNumberFormat="1" applyFont="1" applyBorder="1" applyAlignment="1">
      <alignment vertical="top" wrapText="1"/>
    </xf>
    <xf numFmtId="4" fontId="41" fillId="0" borderId="17" xfId="0" applyNumberFormat="1" applyFont="1" applyBorder="1" applyAlignment="1">
      <alignment horizontal="right" vertical="top" wrapText="1"/>
    </xf>
    <xf numFmtId="0" fontId="41" fillId="0" borderId="17" xfId="0" applyNumberFormat="1" applyFont="1" applyBorder="1" applyAlignment="1">
      <alignment vertical="top" wrapText="1"/>
    </xf>
    <xf numFmtId="0" fontId="41" fillId="0" borderId="0" xfId="339" applyFont="1" applyFill="1" applyAlignment="1">
      <alignment vertical="top"/>
    </xf>
    <xf numFmtId="172" fontId="41" fillId="0" borderId="42" xfId="0" applyNumberFormat="1" applyFont="1" applyFill="1" applyBorder="1" applyAlignment="1">
      <alignment horizontal="right" vertical="top" shrinkToFit="1"/>
    </xf>
    <xf numFmtId="0" fontId="41" fillId="0" borderId="29" xfId="0" applyNumberFormat="1" applyFont="1" applyFill="1" applyBorder="1" applyAlignment="1">
      <alignment vertical="top" wrapText="1"/>
    </xf>
    <xf numFmtId="49" fontId="41" fillId="0" borderId="40" xfId="0" applyNumberFormat="1" applyFont="1" applyFill="1" applyBorder="1" applyAlignment="1">
      <alignment horizontal="left" vertical="top" wrapText="1"/>
    </xf>
    <xf numFmtId="0" fontId="41" fillId="0" borderId="18" xfId="0" applyFont="1" applyFill="1" applyBorder="1" applyAlignment="1">
      <alignment horizontal="left" vertical="top"/>
    </xf>
    <xf numFmtId="4" fontId="41" fillId="0" borderId="17" xfId="0" applyNumberFormat="1" applyFont="1" applyFill="1" applyBorder="1" applyAlignment="1">
      <alignment vertical="top"/>
    </xf>
    <xf numFmtId="172" fontId="41" fillId="0" borderId="18" xfId="279" applyNumberFormat="1" applyFont="1" applyFill="1" applyBorder="1" applyAlignment="1">
      <alignment vertical="top" shrinkToFit="1"/>
    </xf>
    <xf numFmtId="0" fontId="41" fillId="0" borderId="30" xfId="0" applyFont="1" applyFill="1" applyBorder="1" applyAlignment="1">
      <alignment horizontal="left" vertical="top"/>
    </xf>
    <xf numFmtId="4" fontId="41" fillId="0" borderId="29" xfId="0" applyNumberFormat="1" applyFont="1" applyFill="1" applyBorder="1" applyAlignment="1">
      <alignment vertical="top"/>
    </xf>
    <xf numFmtId="172" fontId="41" fillId="0" borderId="30" xfId="279" applyNumberFormat="1" applyFont="1" applyFill="1" applyBorder="1" applyAlignment="1">
      <alignment vertical="top" shrinkToFit="1"/>
    </xf>
    <xf numFmtId="49" fontId="41" fillId="0" borderId="49" xfId="0" applyNumberFormat="1" applyFont="1" applyBorder="1" applyAlignment="1">
      <alignment horizontal="left" vertical="top" wrapText="1"/>
    </xf>
    <xf numFmtId="0" fontId="41" fillId="0" borderId="29" xfId="0" applyNumberFormat="1" applyFont="1" applyBorder="1" applyAlignment="1">
      <alignment vertical="top" wrapText="1"/>
    </xf>
    <xf numFmtId="172" fontId="41" fillId="0" borderId="42" xfId="0" applyNumberFormat="1" applyFont="1" applyBorder="1" applyAlignment="1">
      <alignment horizontal="right" vertical="top" shrinkToFit="1"/>
    </xf>
    <xf numFmtId="0" fontId="41" fillId="0" borderId="30" xfId="0" applyNumberFormat="1" applyFont="1" applyBorder="1" applyAlignment="1">
      <alignment vertical="top" wrapText="1"/>
    </xf>
    <xf numFmtId="4" fontId="41" fillId="0" borderId="29" xfId="0" applyNumberFormat="1" applyFont="1" applyBorder="1" applyAlignment="1">
      <alignment horizontal="right" vertical="top" wrapText="1"/>
    </xf>
    <xf numFmtId="0" fontId="0" fillId="0" borderId="0" xfId="0" applyFill="1"/>
    <xf numFmtId="49" fontId="41" fillId="31" borderId="40" xfId="0" applyNumberFormat="1" applyFont="1" applyFill="1" applyBorder="1" applyAlignment="1">
      <alignment horizontal="left" vertical="top" wrapText="1"/>
    </xf>
    <xf numFmtId="49" fontId="40" fillId="0" borderId="49" xfId="0" applyNumberFormat="1" applyFont="1" applyBorder="1" applyAlignment="1">
      <alignment horizontal="left" vertical="top" wrapText="1"/>
    </xf>
    <xf numFmtId="0" fontId="41" fillId="0" borderId="30" xfId="0" applyFont="1" applyFill="1" applyBorder="1" applyAlignment="1">
      <alignment horizontal="right" vertical="top"/>
    </xf>
    <xf numFmtId="4" fontId="41" fillId="0" borderId="29" xfId="0" applyNumberFormat="1" applyFont="1" applyFill="1" applyBorder="1" applyAlignment="1">
      <alignment horizontal="right" vertical="top"/>
    </xf>
    <xf numFmtId="172" fontId="41" fillId="0" borderId="30" xfId="0" applyNumberFormat="1" applyFont="1" applyFill="1" applyBorder="1" applyAlignment="1">
      <alignment horizontal="right" vertical="top" shrinkToFit="1"/>
    </xf>
    <xf numFmtId="0" fontId="40" fillId="0" borderId="17" xfId="0" applyNumberFormat="1" applyFont="1" applyFill="1" applyBorder="1" applyAlignment="1">
      <alignment vertical="top" wrapText="1"/>
    </xf>
    <xf numFmtId="0" fontId="0" fillId="0" borderId="0" xfId="0" applyFill="1" applyAlignment="1">
      <alignment horizontal="left" vertical="top" wrapText="1"/>
    </xf>
    <xf numFmtId="172" fontId="41" fillId="0" borderId="18" xfId="279" applyNumberFormat="1" applyFont="1" applyFill="1" applyBorder="1" applyAlignment="1">
      <alignment horizontal="right" vertical="top" shrinkToFit="1"/>
    </xf>
    <xf numFmtId="49" fontId="40" fillId="0" borderId="40" xfId="0" applyNumberFormat="1" applyFont="1" applyFill="1" applyBorder="1" applyAlignment="1">
      <alignment horizontal="left" vertical="top" wrapText="1"/>
    </xf>
    <xf numFmtId="4" fontId="54" fillId="0" borderId="0" xfId="982" applyNumberFormat="1" applyFont="1" applyAlignment="1" applyProtection="1">
      <alignment horizontal="center" vertical="top" wrapText="1"/>
    </xf>
    <xf numFmtId="4" fontId="57" fillId="0" borderId="0" xfId="982" applyNumberFormat="1" applyFont="1" applyAlignment="1" applyProtection="1">
      <alignment horizontal="center" vertical="top"/>
    </xf>
    <xf numFmtId="4" fontId="60" fillId="0" borderId="0" xfId="981" applyNumberFormat="1" applyFont="1" applyAlignment="1" applyProtection="1">
      <alignment horizontal="left" vertical="top" wrapText="1"/>
    </xf>
    <xf numFmtId="4" fontId="52" fillId="0" borderId="0" xfId="982" applyNumberFormat="1" applyFont="1" applyAlignment="1" applyProtection="1">
      <alignment vertical="top" wrapText="1"/>
    </xf>
    <xf numFmtId="4" fontId="52" fillId="0" borderId="0" xfId="981" applyNumberFormat="1" applyFont="1" applyProtection="1"/>
    <xf numFmtId="0" fontId="7" fillId="0" borderId="0" xfId="344" applyFont="1" applyFill="1" applyProtection="1"/>
    <xf numFmtId="0" fontId="81" fillId="0" borderId="0" xfId="0" applyFont="1" applyFill="1"/>
    <xf numFmtId="49" fontId="7" fillId="0" borderId="0" xfId="0" applyNumberFormat="1" applyFont="1" applyFill="1" applyAlignment="1" applyProtection="1">
      <alignment vertical="top"/>
    </xf>
    <xf numFmtId="0" fontId="7" fillId="0" borderId="0" xfId="0" applyNumberFormat="1" applyFont="1" applyFill="1" applyAlignment="1" applyProtection="1">
      <alignment wrapText="1"/>
    </xf>
    <xf numFmtId="2" fontId="7" fillId="0" borderId="0" xfId="0" applyNumberFormat="1" applyFont="1" applyFill="1" applyAlignment="1" applyProtection="1">
      <alignment horizontal="right"/>
    </xf>
    <xf numFmtId="49" fontId="7" fillId="0" borderId="0" xfId="0" applyNumberFormat="1" applyFont="1" applyFill="1" applyAlignment="1" applyProtection="1">
      <alignment wrapText="1"/>
    </xf>
    <xf numFmtId="0" fontId="7" fillId="0" borderId="0" xfId="0" applyFont="1" applyFill="1" applyAlignment="1" applyProtection="1">
      <alignment horizontal="center"/>
    </xf>
    <xf numFmtId="0" fontId="7" fillId="0" borderId="0" xfId="0" applyFont="1" applyFill="1" applyProtection="1"/>
    <xf numFmtId="174" fontId="7" fillId="0" borderId="0" xfId="0" applyNumberFormat="1" applyFont="1" applyFill="1" applyAlignment="1" applyProtection="1">
      <alignment horizontal="right"/>
      <protection locked="0"/>
    </xf>
    <xf numFmtId="0" fontId="7" fillId="0" borderId="0" xfId="0" applyFont="1" applyFill="1" applyAlignment="1" applyProtection="1">
      <alignment horizontal="left"/>
    </xf>
    <xf numFmtId="0" fontId="7" fillId="0" borderId="0" xfId="0" applyFont="1" applyFill="1" applyAlignment="1" applyProtection="1">
      <alignment horizontal="left" wrapText="1"/>
    </xf>
    <xf numFmtId="174" fontId="7" fillId="0" borderId="0" xfId="0" applyNumberFormat="1" applyFont="1" applyFill="1" applyAlignment="1" applyProtection="1">
      <alignment horizontal="left" wrapText="1"/>
    </xf>
    <xf numFmtId="49" fontId="7" fillId="0" borderId="0" xfId="0" applyNumberFormat="1" applyFont="1" applyFill="1" applyAlignment="1" applyProtection="1">
      <alignment horizontal="left" wrapText="1"/>
    </xf>
    <xf numFmtId="174" fontId="7" fillId="0" borderId="0" xfId="0" applyNumberFormat="1" applyFont="1" applyFill="1" applyProtection="1">
      <protection locked="0"/>
    </xf>
    <xf numFmtId="0" fontId="7" fillId="0" borderId="0" xfId="0" applyFont="1" applyFill="1" applyAlignment="1" applyProtection="1">
      <alignment horizontal="right"/>
    </xf>
    <xf numFmtId="174" fontId="7" fillId="0" borderId="0" xfId="0" applyNumberFormat="1" applyFont="1" applyFill="1" applyAlignment="1" applyProtection="1">
      <alignment horizontal="right"/>
    </xf>
    <xf numFmtId="49" fontId="7" fillId="0" borderId="0" xfId="0" applyNumberFormat="1" applyFont="1" applyFill="1" applyBorder="1" applyAlignment="1" applyProtection="1">
      <alignment vertical="top"/>
    </xf>
    <xf numFmtId="0" fontId="79"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right"/>
    </xf>
    <xf numFmtId="174" fontId="7" fillId="0" borderId="0" xfId="0" applyNumberFormat="1" applyFont="1" applyFill="1" applyBorder="1" applyAlignment="1" applyProtection="1">
      <alignment horizontal="right"/>
    </xf>
    <xf numFmtId="174" fontId="79" fillId="0" borderId="0" xfId="0" applyNumberFormat="1" applyFont="1" applyFill="1" applyBorder="1" applyAlignment="1" applyProtection="1">
      <alignment horizontal="right"/>
    </xf>
    <xf numFmtId="49" fontId="30" fillId="0" borderId="0" xfId="0" applyNumberFormat="1" applyFont="1" applyFill="1" applyAlignment="1" applyProtection="1">
      <alignment vertical="top"/>
    </xf>
    <xf numFmtId="49" fontId="7" fillId="0" borderId="0" xfId="0" applyNumberFormat="1" applyFont="1" applyFill="1" applyProtection="1"/>
    <xf numFmtId="49" fontId="79" fillId="0" borderId="75" xfId="0" applyNumberFormat="1" applyFont="1" applyFill="1" applyBorder="1" applyAlignment="1" applyProtection="1">
      <alignment vertical="top"/>
    </xf>
    <xf numFmtId="0" fontId="79" fillId="0" borderId="75" xfId="0" applyFont="1" applyFill="1" applyBorder="1" applyAlignment="1" applyProtection="1">
      <alignment horizontal="left"/>
    </xf>
    <xf numFmtId="0" fontId="79" fillId="0" borderId="75" xfId="0" applyFont="1" applyFill="1" applyBorder="1" applyAlignment="1" applyProtection="1">
      <alignment horizontal="center"/>
    </xf>
    <xf numFmtId="0" fontId="79" fillId="0" borderId="75" xfId="0" applyFont="1" applyFill="1" applyBorder="1" applyAlignment="1" applyProtection="1">
      <alignment horizontal="right"/>
    </xf>
    <xf numFmtId="49" fontId="7" fillId="0" borderId="0" xfId="0" applyNumberFormat="1" applyFont="1" applyFill="1" applyBorder="1" applyAlignment="1" applyProtection="1">
      <alignment horizontal="left" vertical="top"/>
    </xf>
    <xf numFmtId="0" fontId="79" fillId="0" borderId="0" xfId="0" applyFont="1" applyFill="1" applyBorder="1" applyAlignment="1" applyProtection="1">
      <alignment horizontal="left" vertical="top"/>
    </xf>
    <xf numFmtId="49" fontId="30" fillId="0" borderId="0" xfId="988" applyNumberFormat="1" applyFont="1" applyFill="1" applyAlignment="1" applyProtection="1">
      <alignment horizontal="left" vertical="top"/>
    </xf>
    <xf numFmtId="0" fontId="7" fillId="0" borderId="0" xfId="988" applyFont="1" applyFill="1" applyAlignment="1" applyProtection="1">
      <alignment horizontal="center"/>
    </xf>
    <xf numFmtId="174" fontId="7" fillId="0" borderId="0" xfId="988" applyNumberFormat="1" applyFont="1" applyFill="1" applyAlignment="1" applyProtection="1">
      <alignment horizontal="right"/>
    </xf>
    <xf numFmtId="0" fontId="7" fillId="0" borderId="0" xfId="0" applyFont="1" applyFill="1" applyBorder="1" applyProtection="1"/>
    <xf numFmtId="49" fontId="7" fillId="0" borderId="0" xfId="988" applyNumberFormat="1" applyFont="1" applyFill="1" applyBorder="1" applyAlignment="1" applyProtection="1">
      <alignment horizontal="left" vertical="top"/>
    </xf>
    <xf numFmtId="49" fontId="7" fillId="0" borderId="75" xfId="988" applyNumberFormat="1" applyFont="1" applyFill="1" applyBorder="1" applyAlignment="1" applyProtection="1">
      <alignment horizontal="left" vertical="top"/>
    </xf>
    <xf numFmtId="49" fontId="7" fillId="0" borderId="0" xfId="988" applyNumberFormat="1" applyFont="1" applyFill="1" applyBorder="1" applyAlignment="1" applyProtection="1">
      <alignment horizontal="left" vertical="top" wrapText="1"/>
    </xf>
    <xf numFmtId="174" fontId="7" fillId="0" borderId="0" xfId="0" applyNumberFormat="1" applyFont="1" applyFill="1" applyBorder="1" applyAlignment="1" applyProtection="1"/>
    <xf numFmtId="0" fontId="4" fillId="0" borderId="0" xfId="0" applyNumberFormat="1" applyFont="1" applyFill="1" applyAlignment="1" applyProtection="1">
      <alignment horizontal="left" wrapText="1"/>
    </xf>
    <xf numFmtId="4" fontId="3" fillId="0" borderId="0" xfId="0" applyNumberFormat="1" applyFont="1" applyFill="1" applyBorder="1" applyAlignment="1" applyProtection="1">
      <alignment horizontal="right" shrinkToFit="1"/>
    </xf>
    <xf numFmtId="49" fontId="86" fillId="0" borderId="0" xfId="0" applyNumberFormat="1" applyFont="1" applyFill="1" applyAlignment="1" applyProtection="1">
      <alignment vertical="top"/>
    </xf>
    <xf numFmtId="0" fontId="86" fillId="0" borderId="0" xfId="0" applyNumberFormat="1" applyFont="1" applyFill="1" applyAlignment="1" applyProtection="1">
      <alignment wrapText="1"/>
    </xf>
    <xf numFmtId="2" fontId="86" fillId="0" borderId="0" xfId="0" applyNumberFormat="1" applyFont="1" applyFill="1" applyAlignment="1" applyProtection="1">
      <alignment horizontal="right"/>
    </xf>
    <xf numFmtId="49" fontId="86" fillId="0" borderId="0" xfId="0" applyNumberFormat="1" applyFont="1" applyFill="1" applyAlignment="1" applyProtection="1">
      <alignment wrapText="1"/>
    </xf>
    <xf numFmtId="0" fontId="86" fillId="0" borderId="0" xfId="0" applyFont="1" applyFill="1" applyAlignment="1" applyProtection="1">
      <alignment horizontal="center"/>
    </xf>
    <xf numFmtId="0" fontId="86" fillId="0" borderId="0" xfId="0" applyFont="1" applyFill="1" applyProtection="1"/>
    <xf numFmtId="174" fontId="86" fillId="0" borderId="0" xfId="0" applyNumberFormat="1" applyFont="1" applyFill="1" applyAlignment="1" applyProtection="1">
      <alignment horizontal="right"/>
      <protection locked="0"/>
    </xf>
    <xf numFmtId="0" fontId="86" fillId="0" borderId="0" xfId="0" applyFont="1" applyFill="1" applyAlignment="1" applyProtection="1">
      <alignment horizontal="left"/>
    </xf>
    <xf numFmtId="0" fontId="86" fillId="0" borderId="0" xfId="0" applyFont="1" applyFill="1" applyAlignment="1" applyProtection="1">
      <alignment horizontal="left" wrapText="1"/>
    </xf>
    <xf numFmtId="49" fontId="86" fillId="0" borderId="0" xfId="988" applyNumberFormat="1" applyFont="1" applyFill="1" applyBorder="1" applyAlignment="1" applyProtection="1">
      <alignment horizontal="left" vertical="top" wrapText="1"/>
    </xf>
    <xf numFmtId="0" fontId="86" fillId="0" borderId="0" xfId="0" applyFont="1" applyFill="1" applyBorder="1" applyAlignment="1" applyProtection="1">
      <alignment horizontal="center"/>
    </xf>
    <xf numFmtId="174" fontId="86" fillId="0" borderId="0" xfId="0" applyNumberFormat="1" applyFont="1" applyFill="1" applyBorder="1" applyAlignment="1" applyProtection="1">
      <alignment horizontal="right"/>
    </xf>
    <xf numFmtId="174" fontId="86" fillId="0" borderId="0" xfId="0" applyNumberFormat="1" applyFont="1" applyFill="1" applyBorder="1" applyAlignment="1" applyProtection="1"/>
    <xf numFmtId="49" fontId="86" fillId="0" borderId="0" xfId="0" applyNumberFormat="1" applyFont="1" applyFill="1" applyAlignment="1" applyProtection="1">
      <alignment horizontal="left" wrapText="1"/>
    </xf>
    <xf numFmtId="174" fontId="86" fillId="0" borderId="0" xfId="0" applyNumberFormat="1" applyFont="1" applyFill="1" applyProtection="1">
      <protection locked="0"/>
    </xf>
    <xf numFmtId="0" fontId="86" fillId="0" borderId="0" xfId="0" applyNumberFormat="1" applyFont="1" applyFill="1" applyAlignment="1" applyProtection="1">
      <alignment horizontal="left" wrapText="1"/>
    </xf>
    <xf numFmtId="49" fontId="86" fillId="0" borderId="0" xfId="0" applyNumberFormat="1" applyFont="1" applyFill="1" applyBorder="1" applyAlignment="1" applyProtection="1">
      <alignment vertical="top"/>
    </xf>
    <xf numFmtId="0" fontId="87" fillId="0" borderId="0" xfId="0" applyFont="1" applyFill="1" applyBorder="1" applyAlignment="1" applyProtection="1">
      <alignment horizontal="left"/>
    </xf>
    <xf numFmtId="0" fontId="86" fillId="0" borderId="0" xfId="0" applyFont="1" applyFill="1" applyBorder="1" applyAlignment="1" applyProtection="1">
      <alignment horizontal="right"/>
    </xf>
    <xf numFmtId="174" fontId="87" fillId="0" borderId="0" xfId="0" applyNumberFormat="1" applyFont="1" applyFill="1" applyBorder="1" applyAlignment="1" applyProtection="1">
      <alignment horizontal="right"/>
    </xf>
    <xf numFmtId="49" fontId="89" fillId="0" borderId="0" xfId="0" applyNumberFormat="1" applyFont="1" applyFill="1" applyAlignment="1" applyProtection="1">
      <alignment vertical="top"/>
    </xf>
    <xf numFmtId="0" fontId="86" fillId="0" borderId="0" xfId="0" applyFont="1" applyFill="1" applyAlignment="1" applyProtection="1">
      <alignment horizontal="right"/>
    </xf>
    <xf numFmtId="174" fontId="86" fillId="0" borderId="0" xfId="0" applyNumberFormat="1" applyFont="1" applyFill="1" applyAlignment="1" applyProtection="1">
      <alignment horizontal="right"/>
    </xf>
    <xf numFmtId="49" fontId="86" fillId="0" borderId="0" xfId="0" applyNumberFormat="1" applyFont="1" applyFill="1" applyProtection="1"/>
    <xf numFmtId="49" fontId="87" fillId="0" borderId="75" xfId="0" applyNumberFormat="1" applyFont="1" applyFill="1" applyBorder="1" applyAlignment="1" applyProtection="1">
      <alignment vertical="top"/>
    </xf>
    <xf numFmtId="0" fontId="87" fillId="0" borderId="75" xfId="0" applyFont="1" applyFill="1" applyBorder="1" applyAlignment="1" applyProtection="1">
      <alignment horizontal="left"/>
    </xf>
    <xf numFmtId="0" fontId="87" fillId="0" borderId="75" xfId="0" applyFont="1" applyFill="1" applyBorder="1" applyAlignment="1" applyProtection="1">
      <alignment horizontal="center"/>
    </xf>
    <xf numFmtId="0" fontId="87" fillId="0" borderId="75" xfId="0" applyFont="1" applyFill="1" applyBorder="1" applyAlignment="1" applyProtection="1">
      <alignment horizontal="right"/>
    </xf>
    <xf numFmtId="4" fontId="58" fillId="0" borderId="0" xfId="982" applyNumberFormat="1" applyFont="1" applyAlignment="1" applyProtection="1">
      <alignment vertical="top" wrapText="1"/>
    </xf>
    <xf numFmtId="4" fontId="102" fillId="0" borderId="0" xfId="0" applyNumberFormat="1" applyFont="1" applyBorder="1" applyAlignment="1">
      <alignment horizontal="center"/>
    </xf>
    <xf numFmtId="175" fontId="104" fillId="0" borderId="0" xfId="166" applyNumberFormat="1" applyFont="1" applyFill="1" applyBorder="1" applyAlignment="1" applyProtection="1">
      <alignment horizontal="right"/>
    </xf>
    <xf numFmtId="0" fontId="4" fillId="0" borderId="0" xfId="0" applyFont="1" applyBorder="1" applyAlignment="1">
      <alignment horizontal="center"/>
    </xf>
    <xf numFmtId="4" fontId="4" fillId="0" borderId="0" xfId="166" applyNumberFormat="1" applyFont="1" applyBorder="1" applyAlignment="1">
      <alignment horizontal="right"/>
    </xf>
    <xf numFmtId="0" fontId="4" fillId="0" borderId="0" xfId="0" applyFont="1" applyBorder="1"/>
    <xf numFmtId="0" fontId="4" fillId="0" borderId="0" xfId="0" applyFont="1" applyBorder="1" applyAlignment="1">
      <alignment horizontal="center" vertical="top"/>
    </xf>
    <xf numFmtId="4" fontId="4" fillId="0" borderId="0" xfId="0" applyNumberFormat="1" applyFont="1" applyBorder="1"/>
    <xf numFmtId="4" fontId="4" fillId="0" borderId="0" xfId="0" applyNumberFormat="1" applyFont="1" applyBorder="1" applyAlignment="1">
      <alignment horizontal="center"/>
    </xf>
    <xf numFmtId="0" fontId="4" fillId="0" borderId="0" xfId="0" applyFont="1" applyBorder="1" applyAlignment="1">
      <alignment horizontal="left" vertical="top" wrapText="1"/>
    </xf>
    <xf numFmtId="0" fontId="67" fillId="0" borderId="0" xfId="0" applyFont="1" applyBorder="1" applyAlignment="1">
      <alignment horizontal="center" vertical="top"/>
    </xf>
    <xf numFmtId="0" fontId="67" fillId="0" borderId="0" xfId="0" applyFont="1" applyBorder="1" applyAlignment="1">
      <alignment horizontal="left" wrapText="1"/>
    </xf>
    <xf numFmtId="4" fontId="63" fillId="0" borderId="0" xfId="0" applyNumberFormat="1" applyFont="1" applyBorder="1" applyAlignment="1">
      <alignment horizontal="center"/>
    </xf>
    <xf numFmtId="0" fontId="65" fillId="0" borderId="0" xfId="0" applyFont="1" applyBorder="1" applyAlignment="1">
      <alignment horizontal="center" vertical="top" wrapText="1"/>
    </xf>
    <xf numFmtId="4" fontId="63" fillId="0" borderId="0" xfId="0" applyNumberFormat="1" applyFont="1" applyBorder="1" applyAlignment="1">
      <alignment horizontal="center" vertical="top"/>
    </xf>
    <xf numFmtId="0" fontId="65" fillId="0" borderId="0" xfId="0" applyFont="1" applyFill="1" applyBorder="1" applyAlignment="1">
      <alignment horizontal="center" vertical="top"/>
    </xf>
    <xf numFmtId="2" fontId="65" fillId="0" borderId="0" xfId="166" applyNumberFormat="1" applyFont="1" applyBorder="1" applyAlignment="1">
      <alignment horizontal="center" vertical="top"/>
    </xf>
    <xf numFmtId="4" fontId="65" fillId="0" borderId="0" xfId="166" applyNumberFormat="1" applyFont="1" applyBorder="1" applyAlignment="1">
      <alignment horizontal="center" vertical="top"/>
    </xf>
    <xf numFmtId="4" fontId="63" fillId="0" borderId="26" xfId="0" applyNumberFormat="1" applyFont="1" applyBorder="1" applyAlignment="1">
      <alignment horizontal="center"/>
    </xf>
    <xf numFmtId="4" fontId="63" fillId="0" borderId="0" xfId="0" applyNumberFormat="1" applyFont="1" applyAlignment="1">
      <alignment horizontal="center"/>
    </xf>
    <xf numFmtId="0" fontId="4" fillId="0" borderId="26" xfId="0" applyFont="1" applyBorder="1" applyAlignment="1">
      <alignment horizontal="center" vertical="top"/>
    </xf>
    <xf numFmtId="1" fontId="4" fillId="0" borderId="26" xfId="0" applyNumberFormat="1" applyFont="1" applyBorder="1" applyAlignment="1">
      <alignment wrapText="1"/>
    </xf>
    <xf numFmtId="4" fontId="4" fillId="0" borderId="26" xfId="0" applyNumberFormat="1" applyFont="1" applyBorder="1" applyAlignment="1">
      <alignment horizontal="center"/>
    </xf>
    <xf numFmtId="4" fontId="4" fillId="0" borderId="26" xfId="0" applyNumberFormat="1" applyFont="1" applyBorder="1" applyAlignment="1">
      <alignment horizontal="right"/>
    </xf>
    <xf numFmtId="0" fontId="4" fillId="0" borderId="0" xfId="0" applyFont="1" applyBorder="1" applyAlignment="1">
      <alignment horizontal="right" vertical="top"/>
    </xf>
    <xf numFmtId="1" fontId="4" fillId="0" borderId="0" xfId="0" applyNumberFormat="1" applyFont="1" applyBorder="1" applyAlignment="1">
      <alignment wrapText="1"/>
    </xf>
    <xf numFmtId="4" fontId="4" fillId="0" borderId="0" xfId="0" applyNumberFormat="1" applyFont="1" applyBorder="1" applyAlignment="1">
      <alignment horizontal="right"/>
    </xf>
    <xf numFmtId="0" fontId="41" fillId="0" borderId="0" xfId="990" applyFont="1" applyAlignment="1">
      <alignment vertical="top" wrapText="1"/>
    </xf>
    <xf numFmtId="172" fontId="93" fillId="26" borderId="57" xfId="0" applyNumberFormat="1" applyFont="1" applyFill="1" applyBorder="1" applyAlignment="1">
      <alignment horizontal="center" vertical="top" wrapText="1"/>
    </xf>
    <xf numFmtId="172" fontId="92" fillId="0" borderId="57" xfId="351" applyNumberFormat="1" applyFont="1" applyFill="1" applyBorder="1" applyAlignment="1" applyProtection="1">
      <alignment horizontal="center" vertical="center"/>
    </xf>
    <xf numFmtId="49" fontId="93" fillId="26" borderId="33" xfId="0" applyNumberFormat="1" applyFont="1" applyFill="1" applyBorder="1" applyAlignment="1">
      <alignment horizontal="center" wrapText="1"/>
    </xf>
    <xf numFmtId="49" fontId="94" fillId="27" borderId="91" xfId="0" applyNumberFormat="1" applyFont="1" applyFill="1" applyBorder="1" applyAlignment="1">
      <alignment horizontal="center" wrapText="1"/>
    </xf>
    <xf numFmtId="49" fontId="94" fillId="27" borderId="89" xfId="0" applyNumberFormat="1" applyFont="1" applyFill="1" applyBorder="1" applyAlignment="1">
      <alignment horizontal="center" wrapText="1"/>
    </xf>
    <xf numFmtId="49" fontId="93" fillId="0" borderId="88" xfId="0" applyNumberFormat="1" applyFont="1" applyBorder="1" applyAlignment="1">
      <alignment vertical="top" wrapText="1"/>
    </xf>
    <xf numFmtId="49" fontId="93" fillId="0" borderId="82" xfId="0" applyNumberFormat="1" applyFont="1" applyBorder="1" applyAlignment="1">
      <alignment vertical="top" wrapText="1"/>
    </xf>
    <xf numFmtId="0" fontId="93" fillId="0" borderId="82" xfId="351" applyFont="1" applyBorder="1" applyAlignment="1" applyProtection="1">
      <alignment horizontal="center" wrapText="1"/>
    </xf>
    <xf numFmtId="172" fontId="93" fillId="26" borderId="50" xfId="0" applyNumberFormat="1" applyFont="1" applyFill="1" applyBorder="1" applyAlignment="1">
      <alignment horizontal="center" vertical="top" wrapText="1"/>
    </xf>
    <xf numFmtId="172" fontId="92" fillId="0" borderId="50" xfId="351" applyNumberFormat="1" applyFont="1" applyFill="1" applyBorder="1" applyAlignment="1" applyProtection="1">
      <alignment horizontal="center" vertical="center"/>
    </xf>
    <xf numFmtId="172" fontId="41" fillId="0" borderId="96" xfId="0" applyNumberFormat="1" applyFont="1" applyFill="1" applyBorder="1" applyAlignment="1">
      <alignment horizontal="right" vertical="top" shrinkToFit="1"/>
    </xf>
    <xf numFmtId="172" fontId="41" fillId="0" borderId="96" xfId="0" applyNumberFormat="1" applyFont="1" applyBorder="1" applyAlignment="1">
      <alignment horizontal="right" vertical="top" shrinkToFit="1"/>
    </xf>
    <xf numFmtId="172" fontId="41" fillId="0" borderId="74" xfId="0" applyNumberFormat="1" applyFont="1" applyFill="1" applyBorder="1" applyAlignment="1">
      <alignment horizontal="right" vertical="top" shrinkToFit="1"/>
    </xf>
    <xf numFmtId="172" fontId="41" fillId="0" borderId="98" xfId="0" applyNumberFormat="1" applyFont="1" applyBorder="1" applyAlignment="1">
      <alignment horizontal="right" vertical="top" shrinkToFit="1"/>
    </xf>
    <xf numFmtId="172" fontId="40" fillId="28" borderId="99" xfId="0" applyNumberFormat="1" applyFont="1" applyFill="1" applyBorder="1" applyAlignment="1">
      <alignment horizontal="right" vertical="top" shrinkToFit="1"/>
    </xf>
    <xf numFmtId="172" fontId="41" fillId="0" borderId="40" xfId="0" applyNumberFormat="1" applyFont="1" applyFill="1" applyBorder="1" applyAlignment="1">
      <alignment horizontal="right" vertical="top" shrinkToFit="1"/>
    </xf>
    <xf numFmtId="172" fontId="41" fillId="0" borderId="74" xfId="0" applyNumberFormat="1" applyFont="1" applyBorder="1" applyAlignment="1">
      <alignment horizontal="right" vertical="top" shrinkToFit="1"/>
    </xf>
    <xf numFmtId="0" fontId="40" fillId="0" borderId="0" xfId="351" applyNumberFormat="1" applyFont="1" applyFill="1" applyBorder="1" applyAlignment="1" applyProtection="1">
      <alignment horizontal="center" vertical="center" wrapText="1"/>
      <protection locked="0"/>
    </xf>
    <xf numFmtId="172" fontId="41" fillId="0" borderId="0" xfId="0" applyNumberFormat="1" applyFont="1" applyBorder="1" applyAlignment="1">
      <alignment vertical="top"/>
    </xf>
    <xf numFmtId="0" fontId="47" fillId="30" borderId="0" xfId="0" applyNumberFormat="1" applyFont="1" applyFill="1" applyBorder="1" applyAlignment="1">
      <alignment horizontal="center" vertical="top" wrapText="1"/>
    </xf>
    <xf numFmtId="172" fontId="42" fillId="0" borderId="0" xfId="183" applyNumberFormat="1" applyFont="1" applyFill="1" applyBorder="1" applyAlignment="1">
      <alignment horizontal="right" vertical="top" wrapText="1"/>
    </xf>
    <xf numFmtId="172" fontId="41" fillId="0" borderId="0" xfId="0" applyNumberFormat="1" applyFont="1" applyBorder="1" applyAlignment="1">
      <alignment horizontal="right" vertical="top" shrinkToFit="1"/>
    </xf>
    <xf numFmtId="172" fontId="41" fillId="0" borderId="0" xfId="0" applyNumberFormat="1" applyFont="1" applyFill="1" applyBorder="1" applyAlignment="1">
      <alignment horizontal="right" vertical="top" shrinkToFit="1"/>
    </xf>
    <xf numFmtId="172" fontId="40" fillId="28" borderId="0" xfId="0" applyNumberFormat="1" applyFont="1" applyFill="1" applyBorder="1" applyAlignment="1">
      <alignment horizontal="right" vertical="top" shrinkToFit="1"/>
    </xf>
    <xf numFmtId="172" fontId="45" fillId="0" borderId="0" xfId="0" applyNumberFormat="1" applyFont="1" applyBorder="1" applyAlignment="1">
      <alignment horizontal="right" vertical="top"/>
    </xf>
    <xf numFmtId="172" fontId="41" fillId="0" borderId="0" xfId="0" applyNumberFormat="1" applyFont="1" applyBorder="1" applyAlignment="1">
      <alignment horizontal="left" vertical="top" shrinkToFit="1"/>
    </xf>
    <xf numFmtId="4" fontId="41" fillId="0" borderId="0" xfId="0" applyNumberFormat="1" applyFont="1" applyFill="1" applyBorder="1" applyAlignment="1">
      <alignment horizontal="left" vertical="top" shrinkToFit="1"/>
    </xf>
    <xf numFmtId="4" fontId="41" fillId="0" borderId="0" xfId="0" applyNumberFormat="1" applyFont="1" applyFill="1" applyBorder="1" applyAlignment="1">
      <alignment horizontal="left" shrinkToFit="1"/>
    </xf>
    <xf numFmtId="49" fontId="92" fillId="0" borderId="0" xfId="0" applyNumberFormat="1" applyFont="1" applyBorder="1" applyAlignment="1">
      <alignment vertical="top" wrapText="1"/>
    </xf>
    <xf numFmtId="0" fontId="92" fillId="0" borderId="0" xfId="0" applyFont="1" applyBorder="1" applyAlignment="1"/>
    <xf numFmtId="0" fontId="92" fillId="0" borderId="0" xfId="0" applyFont="1" applyBorder="1"/>
    <xf numFmtId="0" fontId="93" fillId="0" borderId="0" xfId="0" applyFont="1" applyAlignment="1">
      <alignment vertical="center"/>
    </xf>
    <xf numFmtId="0" fontId="92" fillId="0" borderId="0" xfId="0" applyFont="1" applyAlignment="1">
      <alignment vertical="center"/>
    </xf>
    <xf numFmtId="0" fontId="92" fillId="0" borderId="0" xfId="0" applyFont="1"/>
    <xf numFmtId="0" fontId="92" fillId="0" borderId="0" xfId="0" applyFont="1" applyAlignment="1">
      <alignment wrapText="1"/>
    </xf>
    <xf numFmtId="0" fontId="92" fillId="0" borderId="14" xfId="0" applyFont="1" applyBorder="1"/>
    <xf numFmtId="0" fontId="92" fillId="0" borderId="16" xfId="0" applyFont="1" applyBorder="1"/>
    <xf numFmtId="172" fontId="92" fillId="0" borderId="16" xfId="0" applyNumberFormat="1" applyFont="1" applyBorder="1"/>
    <xf numFmtId="0" fontId="94" fillId="27" borderId="17" xfId="0" applyNumberFormat="1" applyFont="1" applyFill="1" applyBorder="1" applyAlignment="1">
      <alignment vertical="top" wrapText="1"/>
    </xf>
    <xf numFmtId="0" fontId="92" fillId="27" borderId="63" xfId="0" applyFont="1" applyFill="1" applyBorder="1" applyAlignment="1"/>
    <xf numFmtId="0" fontId="92" fillId="0" borderId="18" xfId="0" applyFont="1" applyBorder="1"/>
    <xf numFmtId="0" fontId="94" fillId="27" borderId="68" xfId="0" applyNumberFormat="1" applyFont="1" applyFill="1" applyBorder="1" applyAlignment="1">
      <alignment vertical="top" wrapText="1"/>
    </xf>
    <xf numFmtId="0" fontId="92" fillId="27" borderId="64" xfId="0" applyFont="1" applyFill="1" applyBorder="1" applyAlignment="1"/>
    <xf numFmtId="172" fontId="95" fillId="27" borderId="55" xfId="0" applyNumberFormat="1" applyFont="1" applyFill="1" applyBorder="1" applyAlignment="1">
      <alignment horizontal="center" vertical="top" wrapText="1"/>
    </xf>
    <xf numFmtId="0" fontId="92" fillId="0" borderId="93" xfId="0" applyFont="1" applyBorder="1"/>
    <xf numFmtId="4" fontId="92" fillId="27" borderId="63" xfId="0" applyNumberFormat="1" applyFont="1" applyFill="1" applyBorder="1" applyAlignment="1"/>
    <xf numFmtId="172" fontId="95" fillId="27" borderId="73" xfId="0" applyNumberFormat="1" applyFont="1" applyFill="1" applyBorder="1" applyAlignment="1">
      <alignment horizontal="center" vertical="top" wrapText="1"/>
    </xf>
    <xf numFmtId="172" fontId="95" fillId="27" borderId="83" xfId="0" applyNumberFormat="1" applyFont="1" applyFill="1" applyBorder="1" applyAlignment="1">
      <alignment horizontal="center" vertical="top" wrapText="1"/>
    </xf>
    <xf numFmtId="0" fontId="92" fillId="27" borderId="73" xfId="0" applyFont="1" applyFill="1" applyBorder="1" applyAlignment="1"/>
    <xf numFmtId="0" fontId="92" fillId="27" borderId="78" xfId="0" applyFont="1" applyFill="1" applyBorder="1" applyAlignment="1"/>
    <xf numFmtId="172" fontId="95" fillId="27" borderId="64" xfId="0" applyNumberFormat="1" applyFont="1" applyFill="1" applyBorder="1" applyAlignment="1">
      <alignment horizontal="center" vertical="top" wrapText="1"/>
    </xf>
    <xf numFmtId="0" fontId="94" fillId="27" borderId="29" xfId="0" applyNumberFormat="1" applyFont="1" applyFill="1" applyBorder="1" applyAlignment="1">
      <alignment vertical="top" wrapText="1"/>
    </xf>
    <xf numFmtId="0" fontId="94" fillId="27" borderId="76" xfId="0" applyNumberFormat="1" applyFont="1" applyFill="1" applyBorder="1" applyAlignment="1">
      <alignment vertical="top" wrapText="1"/>
    </xf>
    <xf numFmtId="172" fontId="95" fillId="27" borderId="77" xfId="0" applyNumberFormat="1" applyFont="1" applyFill="1" applyBorder="1" applyAlignment="1">
      <alignment horizontal="center" vertical="top" wrapText="1"/>
    </xf>
    <xf numFmtId="0" fontId="92" fillId="0" borderId="94" xfId="0" applyFont="1" applyBorder="1"/>
    <xf numFmtId="172" fontId="92" fillId="32" borderId="16" xfId="0" applyNumberFormat="1" applyFont="1" applyFill="1" applyBorder="1"/>
    <xf numFmtId="0" fontId="92" fillId="32" borderId="16" xfId="0" applyFont="1" applyFill="1" applyBorder="1"/>
    <xf numFmtId="0" fontId="92" fillId="0" borderId="83" xfId="0" applyFont="1" applyBorder="1"/>
    <xf numFmtId="172" fontId="92" fillId="0" borderId="32" xfId="351" applyNumberFormat="1" applyFont="1" applyFill="1" applyBorder="1" applyAlignment="1" applyProtection="1">
      <alignment horizontal="center" vertical="center"/>
    </xf>
    <xf numFmtId="49" fontId="92" fillId="0" borderId="15" xfId="0" applyNumberFormat="1" applyFont="1" applyBorder="1" applyAlignment="1">
      <alignment vertical="top" wrapText="1"/>
    </xf>
    <xf numFmtId="0" fontId="92" fillId="0" borderId="15" xfId="0" applyFont="1" applyBorder="1" applyAlignment="1"/>
    <xf numFmtId="49" fontId="92" fillId="0" borderId="14" xfId="0" applyNumberFormat="1" applyFont="1" applyBorder="1" applyAlignment="1">
      <alignment vertical="top" wrapText="1"/>
    </xf>
    <xf numFmtId="0" fontId="92" fillId="0" borderId="14" xfId="0" applyFont="1" applyBorder="1" applyAlignment="1"/>
    <xf numFmtId="0" fontId="81" fillId="0" borderId="0" xfId="0" applyFont="1"/>
    <xf numFmtId="49" fontId="113" fillId="27" borderId="33" xfId="0" applyNumberFormat="1" applyFont="1" applyFill="1" applyBorder="1" applyAlignment="1">
      <alignment horizontal="left" vertical="top" wrapText="1"/>
    </xf>
    <xf numFmtId="0" fontId="113" fillId="27" borderId="21" xfId="0" applyNumberFormat="1" applyFont="1" applyFill="1" applyBorder="1" applyAlignment="1">
      <alignment vertical="top" wrapText="1"/>
    </xf>
    <xf numFmtId="4" fontId="46" fillId="27" borderId="20" xfId="0" applyNumberFormat="1" applyFont="1" applyFill="1" applyBorder="1" applyAlignment="1">
      <alignment horizontal="right" vertical="top" wrapText="1"/>
    </xf>
    <xf numFmtId="49" fontId="40" fillId="0" borderId="47" xfId="0" applyNumberFormat="1" applyFont="1" applyBorder="1" applyAlignment="1">
      <alignment horizontal="left" vertical="top" wrapText="1"/>
    </xf>
    <xf numFmtId="0" fontId="40" fillId="0" borderId="23" xfId="0" applyNumberFormat="1" applyFont="1" applyBorder="1" applyAlignment="1">
      <alignment vertical="top" wrapText="1"/>
    </xf>
    <xf numFmtId="4" fontId="41" fillId="0" borderId="28" xfId="0" applyNumberFormat="1" applyFont="1" applyBorder="1" applyAlignment="1">
      <alignment horizontal="right" vertical="top" wrapText="1"/>
    </xf>
    <xf numFmtId="49" fontId="41" fillId="0" borderId="14" xfId="0" applyNumberFormat="1" applyFont="1" applyBorder="1" applyAlignment="1">
      <alignment vertical="top" wrapText="1"/>
    </xf>
    <xf numFmtId="172" fontId="113" fillId="27" borderId="57" xfId="0" applyNumberFormat="1" applyFont="1" applyFill="1" applyBorder="1" applyAlignment="1">
      <alignment horizontal="right" vertical="top" shrinkToFit="1"/>
    </xf>
    <xf numFmtId="172" fontId="41" fillId="0" borderId="14" xfId="0" applyNumberFormat="1" applyFont="1" applyBorder="1" applyAlignment="1">
      <alignment horizontal="right" vertical="top"/>
    </xf>
    <xf numFmtId="172" fontId="46" fillId="27" borderId="32" xfId="0" applyNumberFormat="1" applyFont="1" applyFill="1" applyBorder="1" applyAlignment="1">
      <alignment horizontal="right" vertical="top" shrinkToFit="1"/>
    </xf>
    <xf numFmtId="172" fontId="41" fillId="0" borderId="48" xfId="0" applyNumberFormat="1" applyFont="1" applyBorder="1" applyAlignment="1">
      <alignment horizontal="right" vertical="top" shrinkToFit="1"/>
    </xf>
    <xf numFmtId="0" fontId="81" fillId="0" borderId="0" xfId="0" applyFont="1" applyFill="1" applyAlignment="1">
      <alignment horizontal="left" vertical="top" wrapText="1"/>
    </xf>
    <xf numFmtId="172" fontId="115" fillId="24" borderId="0" xfId="372" applyNumberFormat="1" applyFont="1" applyFill="1" applyBorder="1" applyAlignment="1" applyProtection="1">
      <alignment horizontal="center" vertical="top" wrapText="1"/>
      <protection locked="0"/>
    </xf>
    <xf numFmtId="172" fontId="113" fillId="27" borderId="32" xfId="0" applyNumberFormat="1" applyFont="1" applyFill="1" applyBorder="1" applyAlignment="1">
      <alignment horizontal="right" vertical="top" shrinkToFit="1"/>
    </xf>
    <xf numFmtId="0" fontId="81" fillId="0" borderId="0" xfId="0" applyFont="1" applyAlignment="1">
      <alignment horizontal="left" vertical="top"/>
    </xf>
    <xf numFmtId="0" fontId="40" fillId="27" borderId="21" xfId="0" applyNumberFormat="1" applyFont="1" applyFill="1" applyBorder="1" applyAlignment="1">
      <alignment vertical="top" wrapText="1"/>
    </xf>
    <xf numFmtId="0" fontId="41" fillId="0" borderId="0" xfId="0" applyFont="1" applyBorder="1" applyAlignment="1">
      <alignment vertical="top"/>
    </xf>
    <xf numFmtId="0" fontId="81" fillId="0" borderId="0" xfId="0" applyFont="1" applyFill="1" applyAlignment="1">
      <alignment horizontal="left" vertical="top"/>
    </xf>
    <xf numFmtId="2" fontId="81" fillId="0" borderId="0" xfId="0" applyNumberFormat="1" applyFont="1" applyAlignment="1">
      <alignment horizontal="left"/>
    </xf>
    <xf numFmtId="4" fontId="81" fillId="0" borderId="0" xfId="0" applyNumberFormat="1" applyFont="1"/>
    <xf numFmtId="4" fontId="41" fillId="0" borderId="17" xfId="0" applyNumberFormat="1" applyFont="1" applyBorder="1" applyAlignment="1">
      <alignment horizontal="left" vertical="top" wrapText="1"/>
    </xf>
    <xf numFmtId="172" fontId="113" fillId="27" borderId="0" xfId="0" applyNumberFormat="1" applyFont="1" applyFill="1" applyBorder="1" applyAlignment="1">
      <alignment horizontal="right" vertical="top" shrinkToFit="1"/>
    </xf>
    <xf numFmtId="172" fontId="41" fillId="0" borderId="0" xfId="0" applyNumberFormat="1" applyFont="1" applyBorder="1" applyAlignment="1">
      <alignment horizontal="right" vertical="top"/>
    </xf>
    <xf numFmtId="4" fontId="58" fillId="0" borderId="0" xfId="344" applyNumberFormat="1" applyFont="1" applyFill="1" applyProtection="1"/>
    <xf numFmtId="173" fontId="65" fillId="0" borderId="0" xfId="0" applyNumberFormat="1" applyFont="1" applyBorder="1" applyAlignment="1">
      <alignment horizontal="center" vertical="top" wrapText="1"/>
    </xf>
    <xf numFmtId="172" fontId="95" fillId="27" borderId="51" xfId="0" applyNumberFormat="1" applyFont="1" applyFill="1" applyBorder="1" applyAlignment="1">
      <alignment horizontal="center" vertical="top" wrapText="1"/>
    </xf>
    <xf numFmtId="172" fontId="95" fillId="27" borderId="53" xfId="0" applyNumberFormat="1" applyFont="1" applyFill="1" applyBorder="1" applyAlignment="1">
      <alignment horizontal="center" vertical="top" wrapText="1"/>
    </xf>
    <xf numFmtId="172" fontId="93" fillId="26" borderId="90" xfId="0" applyNumberFormat="1" applyFont="1" applyFill="1" applyBorder="1" applyAlignment="1">
      <alignment horizontal="center" vertical="top" wrapText="1"/>
    </xf>
    <xf numFmtId="0" fontId="92" fillId="0" borderId="113" xfId="0" applyFont="1" applyBorder="1"/>
    <xf numFmtId="0" fontId="92" fillId="0" borderId="114" xfId="0" applyFont="1" applyBorder="1"/>
    <xf numFmtId="0" fontId="92" fillId="0" borderId="73" xfId="0" applyFont="1" applyBorder="1"/>
    <xf numFmtId="172" fontId="92" fillId="0" borderId="90" xfId="351" applyNumberFormat="1" applyFont="1" applyFill="1" applyBorder="1" applyAlignment="1" applyProtection="1">
      <alignment horizontal="center" vertical="center"/>
    </xf>
    <xf numFmtId="172" fontId="93" fillId="26" borderId="21" xfId="0" applyNumberFormat="1" applyFont="1" applyFill="1" applyBorder="1" applyAlignment="1">
      <alignment horizontal="center" vertical="top" wrapText="1"/>
    </xf>
    <xf numFmtId="0" fontId="92" fillId="0" borderId="23" xfId="0" applyFont="1" applyBorder="1"/>
    <xf numFmtId="172" fontId="95" fillId="27" borderId="6" xfId="0" applyNumberFormat="1" applyFont="1" applyFill="1" applyBorder="1" applyAlignment="1">
      <alignment horizontal="center" vertical="top" wrapText="1"/>
    </xf>
    <xf numFmtId="0" fontId="92" fillId="0" borderId="17" xfId="0" applyFont="1" applyBorder="1"/>
    <xf numFmtId="0" fontId="92" fillId="0" borderId="6" xfId="0" applyFont="1" applyBorder="1"/>
    <xf numFmtId="172" fontId="92" fillId="0" borderId="21" xfId="351" applyNumberFormat="1" applyFont="1" applyFill="1" applyBorder="1" applyAlignment="1" applyProtection="1">
      <alignment horizontal="center" vertical="center"/>
    </xf>
    <xf numFmtId="4" fontId="58" fillId="0" borderId="117" xfId="982" applyNumberFormat="1" applyFont="1" applyFill="1" applyBorder="1" applyAlignment="1" applyProtection="1">
      <alignment horizontal="right"/>
    </xf>
    <xf numFmtId="4" fontId="58" fillId="0" borderId="6" xfId="982" applyNumberFormat="1" applyFont="1" applyFill="1" applyBorder="1" applyAlignment="1" applyProtection="1">
      <alignment horizontal="right"/>
    </xf>
    <xf numFmtId="4" fontId="58" fillId="0" borderId="6" xfId="344" applyNumberFormat="1" applyFont="1" applyFill="1" applyBorder="1" applyProtection="1">
      <protection locked="0"/>
    </xf>
    <xf numFmtId="2" fontId="58" fillId="0" borderId="6" xfId="344" applyNumberFormat="1" applyFont="1" applyFill="1" applyBorder="1" applyProtection="1">
      <protection locked="0"/>
    </xf>
    <xf numFmtId="2" fontId="58" fillId="0" borderId="6" xfId="344" applyNumberFormat="1" applyFont="1" applyFill="1" applyBorder="1" applyProtection="1"/>
    <xf numFmtId="4" fontId="52" fillId="0" borderId="0" xfId="982" applyNumberFormat="1" applyFont="1" applyFill="1" applyAlignment="1" applyProtection="1">
      <alignment horizontal="left"/>
    </xf>
    <xf numFmtId="4" fontId="52" fillId="0" borderId="0" xfId="981" applyNumberFormat="1" applyFont="1" applyFill="1" applyAlignment="1" applyProtection="1">
      <alignment horizontal="left"/>
    </xf>
    <xf numFmtId="4" fontId="52" fillId="0" borderId="6" xfId="982" applyNumberFormat="1" applyFont="1" applyFill="1" applyBorder="1" applyProtection="1"/>
    <xf numFmtId="4" fontId="54" fillId="0" borderId="0" xfId="982" applyNumberFormat="1" applyFont="1" applyFill="1" applyAlignment="1" applyProtection="1">
      <alignment horizontal="center" vertical="top" wrapText="1"/>
    </xf>
    <xf numFmtId="4" fontId="61" fillId="0" borderId="0" xfId="982" applyNumberFormat="1" applyFont="1" applyFill="1" applyProtection="1"/>
    <xf numFmtId="4" fontId="57" fillId="0" borderId="0" xfId="982" applyNumberFormat="1" applyFont="1" applyFill="1" applyAlignment="1" applyProtection="1">
      <alignment horizontal="center" vertical="top"/>
    </xf>
    <xf numFmtId="4" fontId="58" fillId="0" borderId="0" xfId="982" applyNumberFormat="1" applyFont="1" applyFill="1" applyProtection="1"/>
    <xf numFmtId="4" fontId="58" fillId="0" borderId="0" xfId="982" applyNumberFormat="1" applyFont="1" applyFill="1" applyAlignment="1" applyProtection="1">
      <alignment horizontal="left"/>
    </xf>
    <xf numFmtId="4" fontId="58" fillId="0" borderId="118" xfId="982" applyNumberFormat="1" applyFont="1" applyFill="1" applyBorder="1" applyAlignment="1" applyProtection="1">
      <alignment horizontal="right"/>
    </xf>
    <xf numFmtId="4" fontId="58" fillId="0" borderId="13" xfId="982" applyNumberFormat="1" applyFont="1" applyFill="1" applyBorder="1" applyAlignment="1" applyProtection="1">
      <alignment horizontal="left"/>
    </xf>
    <xf numFmtId="4" fontId="58" fillId="0" borderId="35" xfId="982" applyNumberFormat="1" applyFont="1" applyFill="1" applyBorder="1" applyProtection="1"/>
    <xf numFmtId="4" fontId="58" fillId="0" borderId="0" xfId="982" applyNumberFormat="1" applyFont="1" applyFill="1" applyBorder="1" applyProtection="1"/>
    <xf numFmtId="4" fontId="58" fillId="0" borderId="6" xfId="982" applyNumberFormat="1" applyFont="1" applyFill="1" applyBorder="1" applyProtection="1"/>
    <xf numFmtId="4" fontId="58" fillId="0" borderId="111" xfId="982" applyNumberFormat="1" applyFont="1" applyFill="1" applyBorder="1" applyProtection="1"/>
    <xf numFmtId="4" fontId="57" fillId="0" borderId="0" xfId="982" applyNumberFormat="1" applyFont="1" applyFill="1" applyAlignment="1" applyProtection="1">
      <alignment horizontal="left"/>
    </xf>
    <xf numFmtId="4" fontId="57" fillId="0" borderId="72" xfId="982" applyNumberFormat="1" applyFont="1" applyFill="1" applyBorder="1" applyAlignment="1" applyProtection="1"/>
    <xf numFmtId="4" fontId="52" fillId="0" borderId="13" xfId="982" applyNumberFormat="1" applyFont="1" applyFill="1" applyBorder="1" applyAlignment="1" applyProtection="1">
      <alignment horizontal="left"/>
    </xf>
    <xf numFmtId="4" fontId="52" fillId="0" borderId="35" xfId="982" applyNumberFormat="1" applyFont="1" applyFill="1" applyBorder="1" applyProtection="1"/>
    <xf numFmtId="4" fontId="52" fillId="0" borderId="0" xfId="982" applyNumberFormat="1" applyFont="1" applyFill="1" applyBorder="1" applyProtection="1"/>
    <xf numFmtId="4" fontId="52" fillId="0" borderId="111" xfId="982" applyNumberFormat="1" applyFont="1" applyFill="1" applyBorder="1" applyProtection="1"/>
    <xf numFmtId="4" fontId="60" fillId="0" borderId="0" xfId="981" applyNumberFormat="1" applyFont="1" applyFill="1" applyAlignment="1" applyProtection="1">
      <alignment horizontal="left" vertical="top" wrapText="1"/>
    </xf>
    <xf numFmtId="4" fontId="60" fillId="0" borderId="0" xfId="982" applyNumberFormat="1" applyFont="1" applyFill="1" applyAlignment="1" applyProtection="1"/>
    <xf numFmtId="4" fontId="52" fillId="0" borderId="26" xfId="982" applyNumberFormat="1" applyFont="1" applyFill="1" applyBorder="1" applyAlignment="1" applyProtection="1">
      <alignment horizontal="left"/>
    </xf>
    <xf numFmtId="4" fontId="52" fillId="0" borderId="22" xfId="982" applyNumberFormat="1" applyFont="1" applyFill="1" applyBorder="1" applyProtection="1"/>
    <xf numFmtId="4" fontId="52" fillId="0" borderId="26" xfId="982" applyNumberFormat="1" applyFont="1" applyFill="1" applyBorder="1" applyProtection="1"/>
    <xf numFmtId="4" fontId="52" fillId="0" borderId="6" xfId="344" applyNumberFormat="1" applyFont="1" applyFill="1" applyBorder="1" applyProtection="1">
      <protection locked="0"/>
    </xf>
    <xf numFmtId="4" fontId="52" fillId="0" borderId="0" xfId="982" applyNumberFormat="1" applyFont="1" applyFill="1" applyBorder="1" applyAlignment="1" applyProtection="1"/>
    <xf numFmtId="4" fontId="54" fillId="0" borderId="0" xfId="982" applyNumberFormat="1" applyFont="1" applyFill="1" applyBorder="1" applyAlignment="1" applyProtection="1">
      <alignment horizontal="center" vertical="top" wrapText="1"/>
    </xf>
    <xf numFmtId="4" fontId="57" fillId="0" borderId="0" xfId="982" applyNumberFormat="1" applyFont="1" applyFill="1" applyBorder="1" applyAlignment="1" applyProtection="1">
      <alignment horizontal="center" vertical="top"/>
    </xf>
    <xf numFmtId="172" fontId="118" fillId="27" borderId="60" xfId="0" applyNumberFormat="1" applyFont="1" applyFill="1" applyBorder="1" applyAlignment="1">
      <alignment horizontal="center" vertical="top" wrapText="1"/>
    </xf>
    <xf numFmtId="172" fontId="118" fillId="27" borderId="69" xfId="0" applyNumberFormat="1" applyFont="1" applyFill="1" applyBorder="1" applyAlignment="1">
      <alignment horizontal="center" vertical="top" wrapText="1"/>
    </xf>
    <xf numFmtId="172" fontId="118" fillId="27" borderId="77" xfId="0" applyNumberFormat="1" applyFont="1" applyFill="1" applyBorder="1" applyAlignment="1">
      <alignment horizontal="center" vertical="top" wrapText="1"/>
    </xf>
    <xf numFmtId="4" fontId="60" fillId="0" borderId="6" xfId="982" applyNumberFormat="1" applyFont="1" applyFill="1" applyBorder="1" applyAlignment="1" applyProtection="1"/>
    <xf numFmtId="172" fontId="94" fillId="27" borderId="6" xfId="0" applyNumberFormat="1" applyFont="1" applyFill="1" applyBorder="1" applyAlignment="1">
      <alignment horizontal="center" vertical="top" wrapText="1"/>
    </xf>
    <xf numFmtId="172" fontId="94" fillId="27" borderId="77" xfId="0" applyNumberFormat="1" applyFont="1" applyFill="1" applyBorder="1" applyAlignment="1">
      <alignment horizontal="center" vertical="top" wrapText="1"/>
    </xf>
    <xf numFmtId="172" fontId="94" fillId="27" borderId="73" xfId="0" applyNumberFormat="1" applyFont="1" applyFill="1" applyBorder="1" applyAlignment="1">
      <alignment horizontal="center" vertical="top" wrapText="1"/>
    </xf>
    <xf numFmtId="172" fontId="46" fillId="27" borderId="0" xfId="0" applyNumberFormat="1" applyFont="1" applyFill="1" applyBorder="1" applyAlignment="1">
      <alignment horizontal="right" vertical="top" shrinkToFit="1"/>
    </xf>
    <xf numFmtId="172" fontId="94" fillId="27" borderId="64" xfId="0" applyNumberFormat="1" applyFont="1" applyFill="1" applyBorder="1" applyAlignment="1">
      <alignment horizontal="center" vertical="top" wrapText="1"/>
    </xf>
    <xf numFmtId="172" fontId="41" fillId="0" borderId="30" xfId="279" applyNumberFormat="1" applyFont="1" applyBorder="1" applyAlignment="1">
      <alignment horizontal="right" vertical="top" wrapText="1"/>
    </xf>
    <xf numFmtId="4" fontId="111" fillId="0" borderId="17" xfId="0" applyNumberFormat="1" applyFont="1" applyBorder="1" applyAlignment="1">
      <alignment horizontal="left" vertical="top" wrapText="1"/>
    </xf>
    <xf numFmtId="4" fontId="41" fillId="0" borderId="74" xfId="0" applyNumberFormat="1" applyFont="1" applyFill="1" applyBorder="1" applyAlignment="1">
      <alignment horizontal="right" vertical="top" wrapText="1"/>
    </xf>
    <xf numFmtId="4" fontId="41" fillId="0" borderId="97" xfId="0" applyNumberFormat="1" applyFont="1" applyFill="1" applyBorder="1" applyAlignment="1">
      <alignment horizontal="right" vertical="top"/>
    </xf>
    <xf numFmtId="0" fontId="92" fillId="0" borderId="0" xfId="0" applyFont="1" applyBorder="1" applyAlignment="1">
      <alignment horizontal="right"/>
    </xf>
    <xf numFmtId="0" fontId="92" fillId="0" borderId="0" xfId="0" applyFont="1" applyAlignment="1">
      <alignment horizontal="right"/>
    </xf>
    <xf numFmtId="0" fontId="92" fillId="0" borderId="0" xfId="0" applyFont="1" applyAlignment="1">
      <alignment horizontal="right" wrapText="1"/>
    </xf>
    <xf numFmtId="0" fontId="92" fillId="0" borderId="14" xfId="0" applyFont="1" applyBorder="1" applyAlignment="1">
      <alignment horizontal="right"/>
    </xf>
    <xf numFmtId="172" fontId="92" fillId="0" borderId="14" xfId="0" applyNumberFormat="1" applyFont="1" applyBorder="1" applyAlignment="1">
      <alignment horizontal="right"/>
    </xf>
    <xf numFmtId="0" fontId="92" fillId="0" borderId="0" xfId="0" applyFont="1" applyBorder="1" applyAlignment="1">
      <alignment horizontal="right" wrapText="1"/>
    </xf>
    <xf numFmtId="0" fontId="92" fillId="0" borderId="14" xfId="0" applyFont="1" applyFill="1" applyBorder="1" applyAlignment="1">
      <alignment horizontal="right" wrapText="1"/>
    </xf>
    <xf numFmtId="0" fontId="92" fillId="0" borderId="14" xfId="0" applyFont="1" applyFill="1" applyBorder="1" applyAlignment="1">
      <alignment horizontal="right"/>
    </xf>
    <xf numFmtId="0" fontId="93" fillId="30" borderId="129" xfId="0" applyFont="1" applyFill="1" applyBorder="1" applyAlignment="1">
      <alignment horizontal="center" wrapText="1"/>
    </xf>
    <xf numFmtId="0" fontId="93" fillId="30" borderId="130" xfId="0" applyFont="1" applyFill="1" applyBorder="1" applyAlignment="1">
      <alignment horizontal="center" wrapText="1"/>
    </xf>
    <xf numFmtId="0" fontId="93" fillId="30" borderId="131" xfId="0" applyFont="1" applyFill="1" applyBorder="1" applyAlignment="1">
      <alignment horizontal="center" wrapText="1"/>
    </xf>
    <xf numFmtId="49" fontId="93" fillId="0" borderId="0" xfId="351" applyNumberFormat="1" applyFont="1" applyFill="1" applyBorder="1" applyAlignment="1" applyProtection="1">
      <alignment horizontal="center" vertical="center" wrapText="1"/>
    </xf>
    <xf numFmtId="4" fontId="93" fillId="0" borderId="0" xfId="338" applyNumberFormat="1" applyFont="1" applyFill="1" applyBorder="1" applyAlignment="1" applyProtection="1">
      <alignment horizontal="center" vertical="center"/>
    </xf>
    <xf numFmtId="4" fontId="93" fillId="0" borderId="0" xfId="338" applyNumberFormat="1" applyFont="1" applyFill="1" applyBorder="1" applyAlignment="1" applyProtection="1">
      <alignment horizontal="center" vertical="center" wrapText="1"/>
    </xf>
    <xf numFmtId="0" fontId="92" fillId="0" borderId="0" xfId="0" applyFont="1" applyFill="1"/>
    <xf numFmtId="0" fontId="92" fillId="0" borderId="0" xfId="0" applyFont="1" applyFill="1" applyAlignment="1">
      <alignment horizontal="right"/>
    </xf>
    <xf numFmtId="0" fontId="92" fillId="34" borderId="0" xfId="0" applyFont="1" applyFill="1"/>
    <xf numFmtId="172" fontId="118" fillId="27" borderId="55" xfId="0" applyNumberFormat="1" applyFont="1" applyFill="1" applyBorder="1" applyAlignment="1">
      <alignment horizontal="center" vertical="top" wrapText="1"/>
    </xf>
    <xf numFmtId="172" fontId="118" fillId="27" borderId="83" xfId="0" applyNumberFormat="1" applyFont="1" applyFill="1" applyBorder="1" applyAlignment="1">
      <alignment horizontal="center" vertical="top" wrapText="1"/>
    </xf>
    <xf numFmtId="172" fontId="92" fillId="0" borderId="14" xfId="0" applyNumberFormat="1" applyFont="1" applyFill="1" applyBorder="1" applyAlignment="1">
      <alignment horizontal="right" wrapText="1"/>
    </xf>
    <xf numFmtId="172" fontId="94" fillId="27" borderId="80" xfId="0" applyNumberFormat="1" applyFont="1" applyFill="1" applyBorder="1" applyAlignment="1">
      <alignment horizontal="center" vertical="top" wrapText="1"/>
    </xf>
    <xf numFmtId="172" fontId="94" fillId="27" borderId="112" xfId="0" applyNumberFormat="1" applyFont="1" applyFill="1" applyBorder="1" applyAlignment="1">
      <alignment horizontal="center" vertical="top" wrapText="1"/>
    </xf>
    <xf numFmtId="172" fontId="94" fillId="27" borderId="55" xfId="0" applyNumberFormat="1" applyFont="1" applyFill="1" applyBorder="1" applyAlignment="1">
      <alignment horizontal="center" vertical="top" wrapText="1"/>
    </xf>
    <xf numFmtId="172" fontId="94" fillId="27" borderId="52" xfId="0" applyNumberFormat="1" applyFont="1" applyFill="1" applyBorder="1" applyAlignment="1">
      <alignment horizontal="center" vertical="top" wrapText="1"/>
    </xf>
    <xf numFmtId="172" fontId="41" fillId="35" borderId="96" xfId="0" applyNumberFormat="1" applyFont="1" applyFill="1" applyBorder="1" applyAlignment="1">
      <alignment horizontal="right" vertical="top" shrinkToFit="1"/>
    </xf>
    <xf numFmtId="172" fontId="95" fillId="27" borderId="57" xfId="351" applyNumberFormat="1" applyFont="1" applyFill="1" applyBorder="1" applyAlignment="1" applyProtection="1">
      <alignment horizontal="center" vertical="center"/>
    </xf>
    <xf numFmtId="172" fontId="95" fillId="27" borderId="21" xfId="351" applyNumberFormat="1" applyFont="1" applyFill="1" applyBorder="1" applyAlignment="1" applyProtection="1">
      <alignment horizontal="center" vertical="center"/>
    </xf>
    <xf numFmtId="172" fontId="95" fillId="27" borderId="90" xfId="351" applyNumberFormat="1" applyFont="1" applyFill="1" applyBorder="1" applyAlignment="1" applyProtection="1">
      <alignment horizontal="center" vertical="center"/>
    </xf>
    <xf numFmtId="172" fontId="95" fillId="27" borderId="50" xfId="351" applyNumberFormat="1" applyFont="1" applyFill="1" applyBorder="1" applyAlignment="1" applyProtection="1">
      <alignment horizontal="center" vertical="center"/>
    </xf>
    <xf numFmtId="172" fontId="95" fillId="27" borderId="61" xfId="351" applyNumberFormat="1" applyFont="1" applyFill="1" applyBorder="1" applyAlignment="1" applyProtection="1">
      <alignment horizontal="center" vertical="center"/>
    </xf>
    <xf numFmtId="176" fontId="94" fillId="0" borderId="6" xfId="0" applyNumberFormat="1" applyFont="1" applyBorder="1"/>
    <xf numFmtId="176" fontId="94" fillId="0" borderId="73" xfId="0" applyNumberFormat="1" applyFont="1" applyBorder="1"/>
    <xf numFmtId="176" fontId="94" fillId="0" borderId="83" xfId="0" applyNumberFormat="1" applyFont="1" applyBorder="1"/>
    <xf numFmtId="172" fontId="93" fillId="29" borderId="67" xfId="351" applyNumberFormat="1" applyFont="1" applyFill="1" applyBorder="1" applyAlignment="1" applyProtection="1">
      <alignment horizontal="center" vertical="center"/>
    </xf>
    <xf numFmtId="172" fontId="93" fillId="29" borderId="87" xfId="351" applyNumberFormat="1" applyFont="1" applyFill="1" applyBorder="1" applyAlignment="1" applyProtection="1">
      <alignment horizontal="center" vertical="center"/>
    </xf>
    <xf numFmtId="172" fontId="93" fillId="29" borderId="116" xfId="351" applyNumberFormat="1" applyFont="1" applyFill="1" applyBorder="1" applyAlignment="1" applyProtection="1">
      <alignment horizontal="center" vertical="center"/>
    </xf>
    <xf numFmtId="172" fontId="93" fillId="29" borderId="115" xfId="351" applyNumberFormat="1" applyFont="1" applyFill="1" applyBorder="1" applyAlignment="1" applyProtection="1">
      <alignment horizontal="center" vertical="center"/>
    </xf>
    <xf numFmtId="172" fontId="93" fillId="29" borderId="95" xfId="351" applyNumberFormat="1" applyFont="1" applyFill="1" applyBorder="1" applyAlignment="1" applyProtection="1">
      <alignment horizontal="center" vertical="center"/>
    </xf>
    <xf numFmtId="172" fontId="93" fillId="0" borderId="32" xfId="351" applyNumberFormat="1" applyFont="1" applyFill="1" applyBorder="1" applyAlignment="1" applyProtection="1">
      <alignment horizontal="center" vertical="center"/>
    </xf>
    <xf numFmtId="172" fontId="93" fillId="0" borderId="57" xfId="351" applyNumberFormat="1" applyFont="1" applyFill="1" applyBorder="1" applyAlignment="1" applyProtection="1">
      <alignment horizontal="center" vertical="center"/>
    </xf>
    <xf numFmtId="172" fontId="93" fillId="0" borderId="21" xfId="351" applyNumberFormat="1" applyFont="1" applyFill="1" applyBorder="1" applyAlignment="1" applyProtection="1">
      <alignment horizontal="center" vertical="center"/>
    </xf>
    <xf numFmtId="172" fontId="93" fillId="0" borderId="90" xfId="351" applyNumberFormat="1" applyFont="1" applyFill="1" applyBorder="1" applyAlignment="1" applyProtection="1">
      <alignment horizontal="center" vertical="center"/>
    </xf>
    <xf numFmtId="172" fontId="93" fillId="0" borderId="50" xfId="351" applyNumberFormat="1" applyFont="1" applyFill="1" applyBorder="1" applyAlignment="1" applyProtection="1">
      <alignment horizontal="center" vertical="center"/>
    </xf>
    <xf numFmtId="172" fontId="95" fillId="27" borderId="0" xfId="0" applyNumberFormat="1" applyFont="1" applyFill="1" applyBorder="1" applyAlignment="1">
      <alignment horizontal="center" vertical="top" wrapText="1"/>
    </xf>
    <xf numFmtId="172" fontId="95" fillId="27" borderId="54" xfId="0" applyNumberFormat="1" applyFont="1" applyFill="1" applyBorder="1" applyAlignment="1">
      <alignment horizontal="center" vertical="top" wrapText="1"/>
    </xf>
    <xf numFmtId="49" fontId="40" fillId="30" borderId="70" xfId="0" applyNumberFormat="1" applyFont="1" applyFill="1" applyBorder="1" applyAlignment="1">
      <alignment horizontal="left" wrapText="1"/>
    </xf>
    <xf numFmtId="0" fontId="0" fillId="0" borderId="0" xfId="0" applyProtection="1"/>
    <xf numFmtId="4" fontId="40" fillId="0" borderId="15" xfId="279" applyNumberFormat="1" applyFont="1" applyFill="1" applyBorder="1" applyAlignment="1" applyProtection="1">
      <alignment vertical="top"/>
    </xf>
    <xf numFmtId="172" fontId="40" fillId="0" borderId="15" xfId="279" applyNumberFormat="1" applyFont="1" applyFill="1" applyBorder="1" applyAlignment="1" applyProtection="1">
      <alignment vertical="top"/>
    </xf>
    <xf numFmtId="172" fontId="41" fillId="0" borderId="15" xfId="0" applyNumberFormat="1" applyFont="1" applyBorder="1" applyAlignment="1" applyProtection="1">
      <alignment vertical="top"/>
    </xf>
    <xf numFmtId="0" fontId="47" fillId="30" borderId="31" xfId="0" applyNumberFormat="1" applyFont="1" applyFill="1" applyBorder="1" applyAlignment="1" applyProtection="1">
      <alignment horizontal="center" vertical="top" wrapText="1"/>
    </xf>
    <xf numFmtId="0" fontId="47" fillId="30" borderId="20" xfId="0" applyNumberFormat="1" applyFont="1" applyFill="1" applyBorder="1" applyAlignment="1" applyProtection="1">
      <alignment horizontal="center" vertical="top" wrapText="1"/>
    </xf>
    <xf numFmtId="49" fontId="42" fillId="0" borderId="25" xfId="0" applyNumberFormat="1" applyFont="1" applyFill="1" applyBorder="1" applyAlignment="1" applyProtection="1">
      <alignment horizontal="left" vertical="top" wrapText="1"/>
    </xf>
    <xf numFmtId="0" fontId="40" fillId="0" borderId="25" xfId="183" applyNumberFormat="1" applyFont="1" applyFill="1" applyBorder="1" applyAlignment="1" applyProtection="1">
      <alignment horizontal="left" vertical="top" wrapText="1"/>
    </xf>
    <xf numFmtId="4" fontId="42" fillId="0" borderId="25" xfId="183" applyNumberFormat="1" applyFont="1" applyFill="1" applyBorder="1" applyAlignment="1" applyProtection="1">
      <alignment horizontal="right" vertical="top" wrapText="1"/>
    </xf>
    <xf numFmtId="172" fontId="42" fillId="0" borderId="25" xfId="183" applyNumberFormat="1" applyFont="1" applyFill="1" applyBorder="1" applyAlignment="1" applyProtection="1">
      <alignment horizontal="right" vertical="top" wrapText="1"/>
    </xf>
    <xf numFmtId="172" fontId="42" fillId="0" borderId="122" xfId="183" applyNumberFormat="1" applyFont="1" applyFill="1" applyBorder="1" applyAlignment="1" applyProtection="1">
      <alignment horizontal="right" vertical="top" wrapText="1"/>
    </xf>
    <xf numFmtId="0" fontId="42" fillId="24" borderId="0" xfId="351" applyNumberFormat="1" applyFont="1" applyFill="1" applyBorder="1" applyAlignment="1" applyProtection="1">
      <alignment horizontal="center" vertical="top" wrapText="1"/>
    </xf>
    <xf numFmtId="0" fontId="42" fillId="24" borderId="0" xfId="372" applyFont="1" applyFill="1" applyBorder="1" applyAlignment="1" applyProtection="1">
      <alignment horizontal="center" vertical="top" wrapText="1"/>
    </xf>
    <xf numFmtId="0" fontId="42" fillId="24" borderId="0" xfId="372" applyFont="1" applyFill="1" applyBorder="1" applyAlignment="1" applyProtection="1">
      <alignment horizontal="center" vertical="top"/>
    </xf>
    <xf numFmtId="4" fontId="42" fillId="24" borderId="0" xfId="372" applyNumberFormat="1" applyFont="1" applyFill="1" applyBorder="1" applyAlignment="1" applyProtection="1">
      <alignment horizontal="center" vertical="top" wrapText="1"/>
    </xf>
    <xf numFmtId="172" fontId="42" fillId="24" borderId="0" xfId="372" applyNumberFormat="1" applyFont="1" applyFill="1" applyBorder="1" applyAlignment="1" applyProtection="1">
      <alignment horizontal="center" vertical="top" wrapText="1"/>
    </xf>
    <xf numFmtId="172" fontId="42" fillId="24" borderId="83" xfId="372" applyNumberFormat="1" applyFont="1" applyFill="1" applyBorder="1" applyAlignment="1" applyProtection="1">
      <alignment horizontal="center" vertical="top" wrapText="1"/>
    </xf>
    <xf numFmtId="172" fontId="115" fillId="24" borderId="0" xfId="372" applyNumberFormat="1" applyFont="1" applyFill="1" applyBorder="1" applyAlignment="1" applyProtection="1">
      <alignment horizontal="center" vertical="top" wrapText="1"/>
    </xf>
    <xf numFmtId="49" fontId="48" fillId="0" borderId="0" xfId="0" applyNumberFormat="1" applyFont="1" applyBorder="1" applyAlignment="1" applyProtection="1">
      <alignment horizontal="left" vertical="top" wrapText="1"/>
    </xf>
    <xf numFmtId="0" fontId="48" fillId="0" borderId="0" xfId="0" applyNumberFormat="1" applyFont="1" applyBorder="1" applyAlignment="1" applyProtection="1">
      <alignment vertical="top" wrapText="1"/>
    </xf>
    <xf numFmtId="4" fontId="45" fillId="0" borderId="0" xfId="0" applyNumberFormat="1" applyFont="1" applyBorder="1" applyAlignment="1" applyProtection="1">
      <alignment horizontal="right" vertical="top" wrapText="1"/>
    </xf>
    <xf numFmtId="4" fontId="41" fillId="0" borderId="0" xfId="0" applyNumberFormat="1" applyFont="1" applyBorder="1" applyAlignment="1" applyProtection="1">
      <alignment horizontal="right" vertical="top" wrapText="1"/>
    </xf>
    <xf numFmtId="172" fontId="41" fillId="0" borderId="0" xfId="279" applyNumberFormat="1" applyFont="1" applyBorder="1" applyAlignment="1" applyProtection="1">
      <alignment horizontal="right" vertical="top" shrinkToFit="1"/>
    </xf>
    <xf numFmtId="172" fontId="45" fillId="0" borderId="83" xfId="0" applyNumberFormat="1" applyFont="1" applyBorder="1" applyAlignment="1" applyProtection="1">
      <alignment horizontal="right" vertical="top" shrinkToFit="1"/>
    </xf>
    <xf numFmtId="172" fontId="45" fillId="0" borderId="0" xfId="0" applyNumberFormat="1" applyFont="1" applyBorder="1" applyAlignment="1" applyProtection="1">
      <alignment horizontal="right" vertical="top" shrinkToFit="1"/>
    </xf>
    <xf numFmtId="49" fontId="51" fillId="27" borderId="33" xfId="0" applyNumberFormat="1" applyFont="1" applyFill="1" applyBorder="1" applyAlignment="1" applyProtection="1">
      <alignment horizontal="left" vertical="top" wrapText="1"/>
    </xf>
    <xf numFmtId="0" fontId="51" fillId="27" borderId="21" xfId="0" applyNumberFormat="1" applyFont="1" applyFill="1" applyBorder="1" applyAlignment="1" applyProtection="1">
      <alignment vertical="top" wrapText="1"/>
    </xf>
    <xf numFmtId="4" fontId="49" fillId="27" borderId="20" xfId="0" applyNumberFormat="1" applyFont="1" applyFill="1" applyBorder="1" applyAlignment="1" applyProtection="1">
      <alignment horizontal="right" vertical="top" wrapText="1"/>
    </xf>
    <xf numFmtId="4" fontId="46" fillId="27" borderId="21" xfId="0" applyNumberFormat="1" applyFont="1" applyFill="1" applyBorder="1" applyAlignment="1" applyProtection="1">
      <alignment horizontal="right" vertical="top" wrapText="1"/>
    </xf>
    <xf numFmtId="172" fontId="46" fillId="27" borderId="20" xfId="279" applyNumberFormat="1" applyFont="1" applyFill="1" applyBorder="1" applyAlignment="1" applyProtection="1">
      <alignment horizontal="right" vertical="top" shrinkToFit="1"/>
    </xf>
    <xf numFmtId="172" fontId="49" fillId="27" borderId="32" xfId="0" applyNumberFormat="1" applyFont="1" applyFill="1" applyBorder="1" applyAlignment="1" applyProtection="1">
      <alignment horizontal="right" vertical="top" shrinkToFit="1"/>
    </xf>
    <xf numFmtId="172" fontId="49" fillId="27" borderId="20" xfId="0" applyNumberFormat="1" applyFont="1" applyFill="1" applyBorder="1" applyAlignment="1" applyProtection="1">
      <alignment horizontal="right" vertical="top" shrinkToFit="1"/>
    </xf>
    <xf numFmtId="172" fontId="49" fillId="27" borderId="57" xfId="0" applyNumberFormat="1" applyFont="1" applyFill="1" applyBorder="1" applyAlignment="1" applyProtection="1">
      <alignment horizontal="right" vertical="top" shrinkToFit="1"/>
    </xf>
    <xf numFmtId="49" fontId="48" fillId="0" borderId="47" xfId="0" applyNumberFormat="1" applyFont="1" applyBorder="1" applyAlignment="1" applyProtection="1">
      <alignment horizontal="left" vertical="top" wrapText="1"/>
    </xf>
    <xf numFmtId="0" fontId="48" fillId="0" borderId="23" xfId="0" applyNumberFormat="1" applyFont="1" applyBorder="1" applyAlignment="1" applyProtection="1">
      <alignment vertical="top" wrapText="1"/>
    </xf>
    <xf numFmtId="4" fontId="45" fillId="0" borderId="28" xfId="0" applyNumberFormat="1" applyFont="1" applyBorder="1" applyAlignment="1" applyProtection="1">
      <alignment horizontal="right" vertical="top" wrapText="1"/>
    </xf>
    <xf numFmtId="4" fontId="41" fillId="0" borderId="23" xfId="0" applyNumberFormat="1" applyFont="1" applyBorder="1" applyAlignment="1" applyProtection="1">
      <alignment horizontal="right" vertical="top" wrapText="1"/>
    </xf>
    <xf numFmtId="172" fontId="41" fillId="0" borderId="28" xfId="279" applyNumberFormat="1" applyFont="1" applyBorder="1" applyAlignment="1" applyProtection="1">
      <alignment horizontal="right" vertical="top" shrinkToFit="1"/>
    </xf>
    <xf numFmtId="172" fontId="45" fillId="0" borderId="48" xfId="0" applyNumberFormat="1" applyFont="1" applyBorder="1" applyAlignment="1" applyProtection="1">
      <alignment horizontal="right" vertical="top" shrinkToFit="1"/>
    </xf>
    <xf numFmtId="172" fontId="45" fillId="0" borderId="28" xfId="0" applyNumberFormat="1" applyFont="1" applyBorder="1" applyAlignment="1" applyProtection="1">
      <alignment horizontal="right" vertical="top" shrinkToFit="1"/>
    </xf>
    <xf numFmtId="172" fontId="45" fillId="0" borderId="97" xfId="0" applyNumberFormat="1" applyFont="1" applyBorder="1" applyAlignment="1" applyProtection="1">
      <alignment horizontal="right" vertical="top" shrinkToFit="1"/>
    </xf>
    <xf numFmtId="49" fontId="40" fillId="0" borderId="40" xfId="0" applyNumberFormat="1" applyFont="1" applyBorder="1" applyAlignment="1" applyProtection="1">
      <alignment horizontal="left" vertical="top" wrapText="1"/>
    </xf>
    <xf numFmtId="0" fontId="50" fillId="0" borderId="17" xfId="0" applyNumberFormat="1" applyFont="1" applyBorder="1" applyAlignment="1" applyProtection="1">
      <alignment vertical="top" wrapText="1"/>
    </xf>
    <xf numFmtId="0" fontId="41" fillId="0" borderId="18" xfId="0" applyFont="1" applyFill="1" applyBorder="1" applyAlignment="1" applyProtection="1">
      <alignment horizontal="right" vertical="top"/>
    </xf>
    <xf numFmtId="4" fontId="41" fillId="0" borderId="17" xfId="0" applyNumberFormat="1" applyFont="1" applyFill="1" applyBorder="1" applyAlignment="1" applyProtection="1">
      <alignment horizontal="right" vertical="top"/>
    </xf>
    <xf numFmtId="172" fontId="41" fillId="0" borderId="18" xfId="0" applyNumberFormat="1" applyFont="1" applyFill="1" applyBorder="1" applyAlignment="1" applyProtection="1">
      <alignment horizontal="right" vertical="top" shrinkToFit="1"/>
    </xf>
    <xf numFmtId="172" fontId="41" fillId="0" borderId="41" xfId="0" applyNumberFormat="1" applyFont="1" applyBorder="1" applyAlignment="1" applyProtection="1">
      <alignment horizontal="right" vertical="top" shrinkToFit="1"/>
    </xf>
    <xf numFmtId="172" fontId="41" fillId="0" borderId="18" xfId="0" applyNumberFormat="1" applyFont="1" applyBorder="1" applyAlignment="1" applyProtection="1">
      <alignment horizontal="right" vertical="top" shrinkToFit="1"/>
    </xf>
    <xf numFmtId="172" fontId="41" fillId="0" borderId="96" xfId="0" applyNumberFormat="1" applyFont="1" applyBorder="1" applyAlignment="1" applyProtection="1">
      <alignment horizontal="right" vertical="top" shrinkToFit="1"/>
    </xf>
    <xf numFmtId="49" fontId="41" fillId="0" borderId="40" xfId="0" applyNumberFormat="1" applyFont="1" applyBorder="1" applyAlignment="1" applyProtection="1">
      <alignment horizontal="left" vertical="top" wrapText="1"/>
    </xf>
    <xf numFmtId="0" fontId="41" fillId="0" borderId="17" xfId="0" applyNumberFormat="1" applyFont="1" applyBorder="1" applyAlignment="1" applyProtection="1">
      <alignment vertical="top" wrapText="1"/>
    </xf>
    <xf numFmtId="0" fontId="41" fillId="0" borderId="18" xfId="0" applyNumberFormat="1" applyFont="1" applyBorder="1" applyAlignment="1" applyProtection="1">
      <alignment vertical="top" wrapText="1"/>
    </xf>
    <xf numFmtId="4" fontId="41" fillId="0" borderId="17" xfId="0" applyNumberFormat="1" applyFont="1" applyBorder="1" applyAlignment="1" applyProtection="1">
      <alignment horizontal="right" vertical="top" wrapText="1"/>
    </xf>
    <xf numFmtId="172" fontId="41" fillId="0" borderId="18" xfId="279" applyNumberFormat="1" applyFont="1" applyBorder="1" applyAlignment="1" applyProtection="1">
      <alignment horizontal="right" vertical="top" shrinkToFit="1"/>
    </xf>
    <xf numFmtId="0" fontId="41" fillId="0" borderId="29" xfId="0" applyNumberFormat="1" applyFont="1" applyFill="1" applyBorder="1" applyAlignment="1" applyProtection="1">
      <alignment vertical="top" wrapText="1"/>
    </xf>
    <xf numFmtId="0" fontId="41" fillId="0" borderId="30" xfId="0" applyFont="1" applyFill="1" applyBorder="1" applyAlignment="1" applyProtection="1">
      <alignment horizontal="left" vertical="top"/>
    </xf>
    <xf numFmtId="4" fontId="41" fillId="0" borderId="29" xfId="0" applyNumberFormat="1" applyFont="1" applyFill="1" applyBorder="1" applyAlignment="1" applyProtection="1">
      <alignment vertical="top"/>
    </xf>
    <xf numFmtId="172" fontId="41" fillId="0" borderId="30" xfId="279" applyNumberFormat="1" applyFont="1" applyFill="1" applyBorder="1" applyAlignment="1" applyProtection="1">
      <alignment vertical="top" shrinkToFit="1"/>
    </xf>
    <xf numFmtId="172" fontId="41" fillId="0" borderId="41" xfId="0" applyNumberFormat="1" applyFont="1" applyFill="1" applyBorder="1" applyAlignment="1" applyProtection="1">
      <alignment horizontal="right" vertical="top" shrinkToFit="1"/>
    </xf>
    <xf numFmtId="172" fontId="41" fillId="0" borderId="96" xfId="0" applyNumberFormat="1" applyFont="1" applyFill="1" applyBorder="1" applyAlignment="1" applyProtection="1">
      <alignment horizontal="right" vertical="top" shrinkToFit="1"/>
    </xf>
    <xf numFmtId="49" fontId="41" fillId="0" borderId="49" xfId="0" applyNumberFormat="1" applyFont="1" applyBorder="1" applyAlignment="1" applyProtection="1">
      <alignment horizontal="left" vertical="top" wrapText="1"/>
    </xf>
    <xf numFmtId="172" fontId="41" fillId="0" borderId="42" xfId="0" applyNumberFormat="1" applyFont="1" applyFill="1" applyBorder="1" applyAlignment="1" applyProtection="1">
      <alignment horizontal="right" vertical="top" shrinkToFit="1"/>
    </xf>
    <xf numFmtId="172" fontId="41" fillId="0" borderId="30" xfId="0" applyNumberFormat="1" applyFont="1" applyFill="1" applyBorder="1" applyAlignment="1" applyProtection="1">
      <alignment horizontal="right" vertical="top" shrinkToFit="1"/>
    </xf>
    <xf numFmtId="172" fontId="41" fillId="0" borderId="74" xfId="0" applyNumberFormat="1" applyFont="1" applyFill="1" applyBorder="1" applyAlignment="1" applyProtection="1">
      <alignment horizontal="right" vertical="top" shrinkToFit="1"/>
    </xf>
    <xf numFmtId="0" fontId="81" fillId="0" borderId="0" xfId="0" applyFont="1" applyProtection="1"/>
    <xf numFmtId="0" fontId="7" fillId="0" borderId="0" xfId="988" applyFont="1" applyFill="1" applyBorder="1" applyAlignment="1" applyProtection="1">
      <alignment horizontal="left" vertical="top" wrapText="1"/>
    </xf>
    <xf numFmtId="0" fontId="41" fillId="0" borderId="29" xfId="0" applyFont="1" applyFill="1" applyBorder="1" applyAlignment="1" applyProtection="1">
      <alignment horizontal="left" vertical="top"/>
    </xf>
    <xf numFmtId="0" fontId="41" fillId="0" borderId="74" xfId="0" applyNumberFormat="1" applyFont="1" applyFill="1" applyBorder="1" applyAlignment="1" applyProtection="1">
      <alignment vertical="top" wrapText="1"/>
    </xf>
    <xf numFmtId="0" fontId="41" fillId="0" borderId="17" xfId="0" applyFont="1" applyFill="1" applyBorder="1" applyAlignment="1" applyProtection="1">
      <alignment horizontal="left" vertical="top"/>
    </xf>
    <xf numFmtId="172" fontId="111" fillId="0" borderId="96" xfId="0" applyNumberFormat="1" applyFont="1" applyFill="1" applyBorder="1" applyAlignment="1" applyProtection="1">
      <alignment horizontal="right" vertical="top" shrinkToFit="1"/>
    </xf>
    <xf numFmtId="0" fontId="41" fillId="0" borderId="0" xfId="339" applyFont="1" applyFill="1" applyAlignment="1" applyProtection="1">
      <alignment horizontal="center" vertical="top"/>
    </xf>
    <xf numFmtId="0" fontId="41" fillId="0" borderId="0" xfId="339" applyFont="1" applyFill="1" applyAlignment="1" applyProtection="1">
      <alignment vertical="top"/>
    </xf>
    <xf numFmtId="0" fontId="41" fillId="0" borderId="17" xfId="0" applyNumberFormat="1" applyFont="1" applyFill="1" applyBorder="1" applyAlignment="1" applyProtection="1">
      <alignment vertical="top" wrapText="1"/>
    </xf>
    <xf numFmtId="0" fontId="41" fillId="0" borderId="18" xfId="0" applyFont="1" applyFill="1" applyBorder="1" applyAlignment="1" applyProtection="1">
      <alignment horizontal="left" vertical="top"/>
    </xf>
    <xf numFmtId="4" fontId="41" fillId="0" borderId="17" xfId="0" applyNumberFormat="1" applyFont="1" applyFill="1" applyBorder="1" applyAlignment="1" applyProtection="1">
      <alignment vertical="top"/>
    </xf>
    <xf numFmtId="172" fontId="41" fillId="0" borderId="18" xfId="279" applyNumberFormat="1" applyFont="1" applyFill="1" applyBorder="1" applyAlignment="1" applyProtection="1">
      <alignment vertical="top" shrinkToFit="1"/>
    </xf>
    <xf numFmtId="0" fontId="0" fillId="0" borderId="0" xfId="0" applyFill="1" applyProtection="1"/>
    <xf numFmtId="0" fontId="50" fillId="0" borderId="17" xfId="0" applyNumberFormat="1" applyFont="1" applyFill="1" applyBorder="1" applyAlignment="1" applyProtection="1">
      <alignment vertical="top" wrapText="1"/>
    </xf>
    <xf numFmtId="49" fontId="41" fillId="0" borderId="43" xfId="0" applyNumberFormat="1" applyFont="1" applyBorder="1" applyAlignment="1" applyProtection="1">
      <alignment horizontal="left" vertical="top" wrapText="1"/>
    </xf>
    <xf numFmtId="0" fontId="41" fillId="0" borderId="24" xfId="0" applyNumberFormat="1" applyFont="1" applyBorder="1" applyAlignment="1" applyProtection="1">
      <alignment vertical="top" wrapText="1"/>
    </xf>
    <xf numFmtId="0" fontId="41" fillId="0" borderId="19" xfId="0" applyNumberFormat="1" applyFont="1" applyBorder="1" applyAlignment="1" applyProtection="1">
      <alignment vertical="top" wrapText="1"/>
    </xf>
    <xf numFmtId="4" fontId="41" fillId="25" borderId="24" xfId="0" applyNumberFormat="1" applyFont="1" applyFill="1" applyBorder="1" applyAlignment="1" applyProtection="1">
      <alignment horizontal="right" vertical="top" wrapText="1"/>
    </xf>
    <xf numFmtId="172" fontId="41" fillId="0" borderId="19" xfId="279" applyNumberFormat="1" applyFont="1" applyBorder="1" applyAlignment="1" applyProtection="1">
      <alignment horizontal="right" vertical="top" shrinkToFit="1"/>
    </xf>
    <xf numFmtId="172" fontId="41" fillId="0" borderId="44" xfId="0" applyNumberFormat="1" applyFont="1" applyBorder="1" applyAlignment="1" applyProtection="1">
      <alignment horizontal="right" vertical="top" shrinkToFit="1"/>
    </xf>
    <xf numFmtId="172" fontId="41" fillId="0" borderId="19" xfId="0" applyNumberFormat="1" applyFont="1" applyBorder="1" applyAlignment="1" applyProtection="1">
      <alignment horizontal="right" vertical="top" shrinkToFit="1"/>
    </xf>
    <xf numFmtId="172" fontId="41" fillId="0" borderId="98" xfId="0" applyNumberFormat="1" applyFont="1" applyBorder="1" applyAlignment="1" applyProtection="1">
      <alignment horizontal="right" vertical="top" shrinkToFit="1"/>
    </xf>
    <xf numFmtId="49" fontId="40" fillId="0" borderId="45" xfId="0" applyNumberFormat="1" applyFont="1" applyBorder="1" applyAlignment="1" applyProtection="1">
      <alignment horizontal="left" vertical="top" wrapText="1"/>
    </xf>
    <xf numFmtId="0" fontId="40" fillId="0" borderId="22" xfId="0" applyNumberFormat="1" applyFont="1" applyBorder="1" applyAlignment="1" applyProtection="1">
      <alignment vertical="top" wrapText="1"/>
    </xf>
    <xf numFmtId="0" fontId="40" fillId="0" borderId="26" xfId="0" applyNumberFormat="1" applyFont="1" applyBorder="1" applyAlignment="1" applyProtection="1">
      <alignment vertical="top" wrapText="1"/>
    </xf>
    <xf numFmtId="4" fontId="40" fillId="0" borderId="22" xfId="0" applyNumberFormat="1" applyFont="1" applyBorder="1" applyAlignment="1" applyProtection="1">
      <alignment horizontal="right" vertical="top" wrapText="1"/>
    </xf>
    <xf numFmtId="172" fontId="40" fillId="0" borderId="26" xfId="279" applyNumberFormat="1" applyFont="1" applyBorder="1" applyAlignment="1" applyProtection="1">
      <alignment horizontal="right" vertical="top" shrinkToFit="1"/>
    </xf>
    <xf numFmtId="172" fontId="40" fillId="28" borderId="46" xfId="0" applyNumberFormat="1" applyFont="1" applyFill="1" applyBorder="1" applyAlignment="1" applyProtection="1">
      <alignment horizontal="right" vertical="top" shrinkToFit="1"/>
    </xf>
    <xf numFmtId="49" fontId="41" fillId="0" borderId="40" xfId="0" applyNumberFormat="1" applyFont="1" applyFill="1" applyBorder="1" applyAlignment="1" applyProtection="1">
      <alignment horizontal="left" vertical="top" wrapText="1"/>
    </xf>
    <xf numFmtId="49" fontId="41" fillId="0" borderId="49" xfId="0" applyNumberFormat="1" applyFont="1" applyFill="1" applyBorder="1" applyAlignment="1" applyProtection="1">
      <alignment horizontal="left" vertical="top" wrapText="1"/>
    </xf>
    <xf numFmtId="49" fontId="45" fillId="0" borderId="14" xfId="0" applyNumberFormat="1" applyFont="1" applyBorder="1" applyAlignment="1" applyProtection="1">
      <alignment vertical="top" wrapText="1"/>
    </xf>
    <xf numFmtId="0" fontId="41" fillId="0" borderId="14" xfId="0" applyNumberFormat="1" applyFont="1" applyBorder="1" applyAlignment="1" applyProtection="1">
      <alignment vertical="top" wrapText="1"/>
    </xf>
    <xf numFmtId="4" fontId="41" fillId="0" borderId="14" xfId="0" applyNumberFormat="1" applyFont="1" applyBorder="1" applyAlignment="1" applyProtection="1">
      <alignment horizontal="right" vertical="top" wrapText="1"/>
    </xf>
    <xf numFmtId="172" fontId="41" fillId="0" borderId="14" xfId="279" applyNumberFormat="1" applyFont="1" applyBorder="1" applyAlignment="1" applyProtection="1">
      <alignment horizontal="right" vertical="top" wrapText="1"/>
    </xf>
    <xf numFmtId="172" fontId="41" fillId="0" borderId="123" xfId="0" applyNumberFormat="1" applyFont="1" applyBorder="1" applyAlignment="1" applyProtection="1">
      <alignment horizontal="right" vertical="top"/>
    </xf>
    <xf numFmtId="172" fontId="41" fillId="0" borderId="18" xfId="0" applyNumberFormat="1" applyFont="1" applyBorder="1" applyAlignment="1" applyProtection="1">
      <alignment horizontal="right" vertical="top"/>
    </xf>
    <xf numFmtId="172" fontId="41" fillId="0" borderId="86" xfId="0" applyNumberFormat="1" applyFont="1" applyBorder="1" applyAlignment="1" applyProtection="1">
      <alignment horizontal="right" vertical="top"/>
    </xf>
    <xf numFmtId="0" fontId="113" fillId="27" borderId="21" xfId="0" applyNumberFormat="1" applyFont="1" applyFill="1" applyBorder="1" applyAlignment="1" applyProtection="1">
      <alignment vertical="top" wrapText="1"/>
    </xf>
    <xf numFmtId="4" fontId="46" fillId="27" borderId="20" xfId="0" applyNumberFormat="1" applyFont="1" applyFill="1" applyBorder="1" applyAlignment="1" applyProtection="1">
      <alignment horizontal="right" vertical="top" wrapText="1"/>
    </xf>
    <xf numFmtId="172" fontId="113" fillId="27" borderId="32" xfId="0" applyNumberFormat="1" applyFont="1" applyFill="1" applyBorder="1" applyAlignment="1" applyProtection="1">
      <alignment horizontal="right" vertical="top" shrinkToFit="1"/>
    </xf>
    <xf numFmtId="172" fontId="113" fillId="27" borderId="20" xfId="0" applyNumberFormat="1" applyFont="1" applyFill="1" applyBorder="1" applyAlignment="1" applyProtection="1">
      <alignment horizontal="right" vertical="top" shrinkToFit="1"/>
    </xf>
    <xf numFmtId="4" fontId="45" fillId="0" borderId="14" xfId="0" applyNumberFormat="1" applyFont="1" applyBorder="1" applyAlignment="1" applyProtection="1">
      <alignment horizontal="right" vertical="top" wrapText="1"/>
    </xf>
    <xf numFmtId="172" fontId="45" fillId="0" borderId="14" xfId="0" applyNumberFormat="1" applyFont="1" applyBorder="1" applyAlignment="1" applyProtection="1">
      <alignment horizontal="right" vertical="top"/>
    </xf>
    <xf numFmtId="172" fontId="41" fillId="0" borderId="30" xfId="279" applyNumberFormat="1" applyFont="1" applyFill="1" applyBorder="1" applyAlignment="1" applyProtection="1">
      <alignment vertical="top" shrinkToFit="1"/>
      <protection locked="0"/>
    </xf>
    <xf numFmtId="172" fontId="41" fillId="0" borderId="18" xfId="279" applyNumberFormat="1" applyFont="1" applyFill="1" applyBorder="1" applyAlignment="1" applyProtection="1">
      <alignment vertical="top" shrinkToFit="1"/>
      <protection locked="0"/>
    </xf>
    <xf numFmtId="172" fontId="49" fillId="27" borderId="31" xfId="0" applyNumberFormat="1" applyFont="1" applyFill="1" applyBorder="1" applyAlignment="1" applyProtection="1">
      <alignment horizontal="right" vertical="top" shrinkToFit="1"/>
    </xf>
    <xf numFmtId="172" fontId="45" fillId="0" borderId="100" xfId="0" applyNumberFormat="1" applyFont="1" applyBorder="1" applyAlignment="1" applyProtection="1">
      <alignment horizontal="right" vertical="top" shrinkToFit="1"/>
    </xf>
    <xf numFmtId="172" fontId="41" fillId="0" borderId="101" xfId="0" applyNumberFormat="1" applyFont="1" applyBorder="1" applyAlignment="1" applyProtection="1">
      <alignment horizontal="right" vertical="top" shrinkToFit="1"/>
    </xf>
    <xf numFmtId="0" fontId="40" fillId="0" borderId="17" xfId="0" applyNumberFormat="1" applyFont="1" applyBorder="1" applyAlignment="1" applyProtection="1">
      <alignment vertical="top" wrapText="1"/>
    </xf>
    <xf numFmtId="0" fontId="41" fillId="0" borderId="18" xfId="0" applyNumberFormat="1" applyFont="1" applyFill="1" applyBorder="1" applyAlignment="1" applyProtection="1">
      <alignment vertical="top" wrapText="1"/>
    </xf>
    <xf numFmtId="4" fontId="41" fillId="0" borderId="17" xfId="0" applyNumberFormat="1" applyFont="1" applyFill="1" applyBorder="1" applyAlignment="1" applyProtection="1">
      <alignment horizontal="right" vertical="top" wrapText="1"/>
    </xf>
    <xf numFmtId="172" fontId="41" fillId="0" borderId="101" xfId="0" applyNumberFormat="1" applyFont="1" applyFill="1" applyBorder="1" applyAlignment="1" applyProtection="1">
      <alignment horizontal="right" vertical="top" shrinkToFit="1"/>
    </xf>
    <xf numFmtId="172" fontId="41" fillId="0" borderId="102" xfId="0" applyNumberFormat="1" applyFont="1" applyFill="1" applyBorder="1" applyAlignment="1" applyProtection="1">
      <alignment horizontal="right" vertical="top" shrinkToFit="1"/>
    </xf>
    <xf numFmtId="0" fontId="41" fillId="0" borderId="30" xfId="0" applyNumberFormat="1" applyFont="1" applyBorder="1" applyAlignment="1" applyProtection="1">
      <alignment vertical="top" wrapText="1"/>
    </xf>
    <xf numFmtId="4" fontId="41" fillId="0" borderId="29" xfId="0" applyNumberFormat="1" applyFont="1" applyBorder="1" applyAlignment="1" applyProtection="1">
      <alignment horizontal="right" vertical="top" wrapText="1"/>
    </xf>
    <xf numFmtId="172" fontId="41" fillId="0" borderId="30" xfId="279" applyNumberFormat="1" applyFont="1" applyBorder="1" applyAlignment="1" applyProtection="1">
      <alignment horizontal="right" vertical="top" shrinkToFit="1"/>
    </xf>
    <xf numFmtId="0" fontId="41" fillId="0" borderId="29" xfId="0" applyNumberFormat="1" applyFont="1" applyBorder="1" applyAlignment="1" applyProtection="1">
      <alignment vertical="top" wrapText="1"/>
    </xf>
    <xf numFmtId="0" fontId="0" fillId="0" borderId="0" xfId="0" applyFill="1" applyAlignment="1" applyProtection="1">
      <alignment horizontal="left" vertical="top" wrapText="1"/>
    </xf>
    <xf numFmtId="0" fontId="97" fillId="0" borderId="0" xfId="0" applyFont="1" applyFill="1" applyProtection="1"/>
    <xf numFmtId="172" fontId="41" fillId="0" borderId="40" xfId="0" applyNumberFormat="1" applyFont="1" applyFill="1" applyBorder="1" applyAlignment="1" applyProtection="1">
      <alignment horizontal="right" vertical="top" shrinkToFit="1"/>
    </xf>
    <xf numFmtId="172" fontId="41" fillId="0" borderId="103" xfId="279" applyNumberFormat="1" applyFont="1" applyFill="1" applyBorder="1" applyAlignment="1" applyProtection="1">
      <alignment vertical="top" shrinkToFit="1"/>
    </xf>
    <xf numFmtId="49" fontId="41" fillId="0" borderId="43" xfId="0" applyNumberFormat="1" applyFont="1" applyFill="1" applyBorder="1" applyAlignment="1" applyProtection="1">
      <alignment horizontal="left" vertical="top" wrapText="1"/>
    </xf>
    <xf numFmtId="172" fontId="41" fillId="0" borderId="104" xfId="279" applyNumberFormat="1" applyFont="1" applyBorder="1" applyAlignment="1" applyProtection="1">
      <alignment horizontal="right" vertical="top" shrinkToFit="1"/>
    </xf>
    <xf numFmtId="172" fontId="40" fillId="28" borderId="99" xfId="0" applyNumberFormat="1" applyFont="1" applyFill="1" applyBorder="1" applyAlignment="1" applyProtection="1">
      <alignment horizontal="right" vertical="top" shrinkToFit="1"/>
    </xf>
    <xf numFmtId="172" fontId="40" fillId="28" borderId="105" xfId="0" applyNumberFormat="1" applyFont="1" applyFill="1" applyBorder="1" applyAlignment="1" applyProtection="1">
      <alignment horizontal="right" vertical="top" shrinkToFit="1"/>
    </xf>
    <xf numFmtId="0" fontId="50" fillId="0" borderId="29" xfId="0" applyNumberFormat="1" applyFont="1" applyBorder="1" applyAlignment="1" applyProtection="1">
      <alignment vertical="top" wrapText="1"/>
    </xf>
    <xf numFmtId="0" fontId="41" fillId="0" borderId="30" xfId="0" applyFont="1" applyFill="1" applyBorder="1" applyAlignment="1" applyProtection="1">
      <alignment horizontal="right" vertical="top"/>
    </xf>
    <xf numFmtId="4" fontId="41" fillId="0" borderId="29" xfId="0" applyNumberFormat="1" applyFont="1" applyFill="1" applyBorder="1" applyAlignment="1" applyProtection="1">
      <alignment horizontal="right" vertical="top"/>
    </xf>
    <xf numFmtId="172" fontId="41" fillId="0" borderId="74" xfId="0" applyNumberFormat="1" applyFont="1" applyBorder="1" applyAlignment="1" applyProtection="1">
      <alignment horizontal="right" vertical="top" shrinkToFit="1"/>
    </xf>
    <xf numFmtId="0" fontId="58" fillId="0" borderId="0" xfId="344" applyFont="1" applyFill="1" applyBorder="1" applyAlignment="1" applyProtection="1">
      <alignment vertical="top" wrapText="1"/>
    </xf>
    <xf numFmtId="172" fontId="45" fillId="0" borderId="94" xfId="0" applyNumberFormat="1" applyFont="1" applyBorder="1" applyAlignment="1" applyProtection="1">
      <alignment horizontal="right" vertical="top"/>
    </xf>
    <xf numFmtId="0" fontId="0" fillId="0" borderId="83" xfId="0" applyBorder="1" applyProtection="1"/>
    <xf numFmtId="4" fontId="41" fillId="0" borderId="6" xfId="0" applyNumberFormat="1" applyFont="1" applyFill="1" applyBorder="1" applyAlignment="1" applyProtection="1">
      <alignment vertical="top"/>
    </xf>
    <xf numFmtId="0" fontId="41" fillId="0" borderId="0" xfId="0" applyFont="1" applyFill="1" applyBorder="1" applyAlignment="1" applyProtection="1">
      <alignment horizontal="left" vertical="top"/>
    </xf>
    <xf numFmtId="172" fontId="41" fillId="0" borderId="10" xfId="0" applyNumberFormat="1" applyFont="1" applyBorder="1" applyAlignment="1" applyProtection="1">
      <alignment horizontal="right" vertical="top" shrinkToFit="1"/>
    </xf>
    <xf numFmtId="0" fontId="0" fillId="0" borderId="0" xfId="0" applyFill="1" applyAlignment="1" applyProtection="1">
      <alignment horizontal="left"/>
    </xf>
    <xf numFmtId="172" fontId="41" fillId="0" borderId="43" xfId="0" applyNumberFormat="1" applyFont="1" applyBorder="1" applyAlignment="1" applyProtection="1">
      <alignment horizontal="right" vertical="top" shrinkToFit="1"/>
    </xf>
    <xf numFmtId="172" fontId="41" fillId="0" borderId="107" xfId="0" applyNumberFormat="1" applyFont="1" applyBorder="1" applyAlignment="1" applyProtection="1">
      <alignment horizontal="right" vertical="top" shrinkToFit="1"/>
    </xf>
    <xf numFmtId="172" fontId="40" fillId="28" borderId="108" xfId="0" applyNumberFormat="1" applyFont="1" applyFill="1" applyBorder="1" applyAlignment="1" applyProtection="1">
      <alignment horizontal="right" vertical="top" shrinkToFit="1"/>
    </xf>
    <xf numFmtId="0" fontId="0" fillId="0" borderId="83" xfId="0" applyFill="1" applyBorder="1" applyProtection="1"/>
    <xf numFmtId="172" fontId="41" fillId="0" borderId="43" xfId="0" applyNumberFormat="1" applyFont="1" applyFill="1" applyBorder="1" applyAlignment="1" applyProtection="1">
      <alignment horizontal="right" vertical="top" shrinkToFit="1"/>
    </xf>
    <xf numFmtId="0" fontId="0" fillId="0" borderId="107" xfId="0" applyBorder="1" applyProtection="1"/>
    <xf numFmtId="172" fontId="40" fillId="28" borderId="45" xfId="0" applyNumberFormat="1" applyFont="1" applyFill="1" applyBorder="1" applyAlignment="1" applyProtection="1">
      <alignment horizontal="right" vertical="top" shrinkToFit="1"/>
    </xf>
    <xf numFmtId="172" fontId="40" fillId="28" borderId="106" xfId="0" applyNumberFormat="1" applyFont="1" applyFill="1" applyBorder="1" applyAlignment="1" applyProtection="1">
      <alignment horizontal="right" vertical="top" shrinkToFit="1"/>
    </xf>
    <xf numFmtId="172" fontId="45" fillId="0" borderId="86" xfId="0" applyNumberFormat="1" applyFont="1" applyBorder="1" applyAlignment="1" applyProtection="1">
      <alignment horizontal="right" vertical="top"/>
    </xf>
    <xf numFmtId="172" fontId="43" fillId="27" borderId="57" xfId="0" applyNumberFormat="1" applyFont="1" applyFill="1" applyBorder="1" applyAlignment="1" applyProtection="1">
      <alignment horizontal="right" vertical="top" shrinkToFit="1"/>
    </xf>
    <xf numFmtId="172" fontId="43" fillId="27" borderId="33" xfId="0" applyNumberFormat="1" applyFont="1" applyFill="1" applyBorder="1" applyAlignment="1" applyProtection="1">
      <alignment horizontal="right" vertical="top" shrinkToFit="1"/>
    </xf>
    <xf numFmtId="172" fontId="43" fillId="27" borderId="50" xfId="0" applyNumberFormat="1" applyFont="1" applyFill="1" applyBorder="1" applyAlignment="1" applyProtection="1">
      <alignment horizontal="right" vertical="top" shrinkToFit="1"/>
    </xf>
    <xf numFmtId="172" fontId="41" fillId="0" borderId="30" xfId="279" applyNumberFormat="1" applyFont="1" applyBorder="1" applyAlignment="1" applyProtection="1">
      <alignment horizontal="right" vertical="top" shrinkToFit="1"/>
      <protection locked="0"/>
    </xf>
    <xf numFmtId="172" fontId="41" fillId="0" borderId="0" xfId="279" applyNumberFormat="1" applyFont="1" applyFill="1" applyBorder="1" applyAlignment="1" applyProtection="1">
      <alignment vertical="top" shrinkToFit="1"/>
      <protection locked="0"/>
    </xf>
    <xf numFmtId="172" fontId="41" fillId="0" borderId="6" xfId="279" applyNumberFormat="1" applyFont="1" applyFill="1" applyBorder="1" applyAlignment="1" applyProtection="1">
      <alignment vertical="top" shrinkToFit="1"/>
      <protection locked="0"/>
    </xf>
    <xf numFmtId="172" fontId="41" fillId="0" borderId="18" xfId="279" applyNumberFormat="1" applyFont="1" applyFill="1" applyBorder="1" applyAlignment="1" applyProtection="1">
      <alignment horizontal="right" vertical="top" shrinkToFit="1"/>
      <protection locked="0"/>
    </xf>
    <xf numFmtId="172" fontId="41" fillId="0" borderId="18" xfId="279" applyNumberFormat="1" applyFont="1" applyBorder="1" applyAlignment="1" applyProtection="1">
      <alignment horizontal="right" vertical="top" shrinkToFit="1"/>
      <protection locked="0"/>
    </xf>
    <xf numFmtId="172" fontId="41" fillId="0" borderId="30" xfId="279" applyNumberFormat="1" applyFont="1" applyFill="1" applyBorder="1" applyAlignment="1" applyProtection="1">
      <alignment horizontal="right" vertical="top" shrinkToFit="1"/>
      <protection locked="0"/>
    </xf>
    <xf numFmtId="172" fontId="41" fillId="0" borderId="30" xfId="0" applyNumberFormat="1" applyFont="1" applyFill="1" applyBorder="1" applyAlignment="1" applyProtection="1">
      <alignment horizontal="right" vertical="top" shrinkToFit="1"/>
      <protection locked="0"/>
    </xf>
    <xf numFmtId="172" fontId="41" fillId="0" borderId="17" xfId="279" applyNumberFormat="1" applyFont="1" applyBorder="1" applyAlignment="1" applyProtection="1">
      <alignment horizontal="right" vertical="top" wrapText="1"/>
      <protection locked="0"/>
    </xf>
    <xf numFmtId="172" fontId="41" fillId="0" borderId="17" xfId="279" applyNumberFormat="1" applyFont="1" applyFill="1" applyBorder="1" applyAlignment="1" applyProtection="1">
      <alignment horizontal="right" vertical="top" wrapText="1"/>
      <protection locked="0"/>
    </xf>
    <xf numFmtId="172" fontId="41" fillId="0" borderId="18" xfId="0" applyNumberFormat="1" applyFont="1" applyFill="1" applyBorder="1" applyAlignment="1" applyProtection="1">
      <alignment horizontal="right" vertical="top" shrinkToFit="1"/>
      <protection locked="0"/>
    </xf>
    <xf numFmtId="174" fontId="7" fillId="0" borderId="0" xfId="988" applyNumberFormat="1" applyFont="1" applyFill="1" applyProtection="1">
      <protection locked="0"/>
    </xf>
    <xf numFmtId="174" fontId="7" fillId="0" borderId="0" xfId="0" applyNumberFormat="1" applyFont="1" applyFill="1" applyProtection="1"/>
    <xf numFmtId="174" fontId="7" fillId="0" borderId="0" xfId="988" applyNumberFormat="1" applyFont="1" applyFill="1" applyAlignment="1" applyProtection="1">
      <alignment horizontal="right"/>
      <protection locked="0"/>
    </xf>
    <xf numFmtId="2" fontId="7" fillId="0" borderId="0" xfId="0" applyNumberFormat="1" applyFont="1" applyFill="1" applyAlignment="1" applyProtection="1">
      <alignment horizontal="right"/>
      <protection locked="0"/>
    </xf>
    <xf numFmtId="174" fontId="7" fillId="0" borderId="0" xfId="0" applyNumberFormat="1" applyFont="1" applyFill="1" applyBorder="1" applyAlignment="1" applyProtection="1">
      <alignment horizontal="right"/>
      <protection locked="0"/>
    </xf>
    <xf numFmtId="49" fontId="7" fillId="0" borderId="0" xfId="988" applyNumberFormat="1" applyFont="1" applyFill="1" applyAlignment="1" applyProtection="1">
      <alignment vertical="top"/>
    </xf>
    <xf numFmtId="49" fontId="7" fillId="0" borderId="0" xfId="988" applyNumberFormat="1" applyFont="1" applyFill="1" applyProtection="1"/>
    <xf numFmtId="0" fontId="7" fillId="0" borderId="0" xfId="988" applyFont="1" applyFill="1" applyAlignment="1" applyProtection="1">
      <alignment horizontal="right"/>
    </xf>
    <xf numFmtId="0" fontId="7" fillId="0" borderId="0" xfId="988" applyFont="1" applyFill="1" applyProtection="1"/>
    <xf numFmtId="0" fontId="81" fillId="0" borderId="0" xfId="986" applyFont="1" applyFill="1" applyBorder="1" applyProtection="1"/>
    <xf numFmtId="2" fontId="7" fillId="0" borderId="0" xfId="988" applyNumberFormat="1" applyFont="1" applyFill="1" applyAlignment="1" applyProtection="1">
      <alignment horizontal="right"/>
    </xf>
    <xf numFmtId="0" fontId="81" fillId="0" borderId="0" xfId="0" applyFont="1" applyFill="1" applyProtection="1"/>
    <xf numFmtId="49" fontId="7" fillId="0" borderId="75" xfId="0" applyNumberFormat="1" applyFont="1" applyFill="1" applyBorder="1" applyAlignment="1" applyProtection="1">
      <alignment vertical="top"/>
    </xf>
    <xf numFmtId="0" fontId="7" fillId="0" borderId="75" xfId="0" applyFont="1" applyFill="1" applyBorder="1" applyAlignment="1" applyProtection="1">
      <alignment horizontal="center"/>
    </xf>
    <xf numFmtId="0" fontId="7" fillId="0" borderId="75" xfId="0" applyFont="1" applyFill="1" applyBorder="1" applyAlignment="1" applyProtection="1">
      <alignment horizontal="right"/>
    </xf>
    <xf numFmtId="174" fontId="7" fillId="0" borderId="75" xfId="0" applyNumberFormat="1" applyFont="1" applyFill="1" applyBorder="1" applyAlignment="1" applyProtection="1">
      <alignment horizontal="right"/>
    </xf>
    <xf numFmtId="174" fontId="79" fillId="0" borderId="75" xfId="0" applyNumberFormat="1" applyFont="1" applyFill="1" applyBorder="1" applyAlignment="1" applyProtection="1">
      <alignment horizontal="right"/>
    </xf>
    <xf numFmtId="0" fontId="79" fillId="0" borderId="0" xfId="988" applyFont="1" applyFill="1" applyAlignment="1" applyProtection="1">
      <alignment horizontal="center"/>
    </xf>
    <xf numFmtId="0" fontId="79" fillId="0" borderId="0" xfId="988" applyFont="1" applyFill="1" applyAlignment="1" applyProtection="1">
      <alignment horizontal="right"/>
    </xf>
    <xf numFmtId="0" fontId="81" fillId="0" borderId="0" xfId="0" applyFont="1" applyFill="1" applyBorder="1" applyProtection="1"/>
    <xf numFmtId="49" fontId="30" fillId="0" borderId="0" xfId="988" applyNumberFormat="1" applyFont="1" applyFill="1" applyAlignment="1" applyProtection="1">
      <alignment vertical="top"/>
    </xf>
    <xf numFmtId="0" fontId="7" fillId="0" borderId="0" xfId="988" applyNumberFormat="1" applyFont="1" applyFill="1" applyAlignment="1" applyProtection="1">
      <alignment wrapText="1"/>
    </xf>
    <xf numFmtId="0" fontId="4" fillId="0" borderId="0" xfId="988" applyFont="1" applyFill="1" applyBorder="1" applyProtection="1"/>
    <xf numFmtId="174" fontId="7" fillId="0" borderId="0" xfId="988" applyNumberFormat="1" applyFont="1" applyFill="1" applyProtection="1"/>
    <xf numFmtId="0" fontId="4" fillId="0" borderId="0" xfId="988" applyFont="1" applyFill="1" applyProtection="1"/>
    <xf numFmtId="0" fontId="4" fillId="0" borderId="0" xfId="0" applyFont="1" applyFill="1" applyProtection="1"/>
    <xf numFmtId="49" fontId="7" fillId="0" borderId="0" xfId="988" applyNumberFormat="1" applyFont="1" applyFill="1" applyAlignment="1" applyProtection="1">
      <alignment horizontal="left" wrapText="1"/>
    </xf>
    <xf numFmtId="49" fontId="4" fillId="0" borderId="0" xfId="988" applyNumberFormat="1" applyFont="1" applyFill="1" applyAlignment="1" applyProtection="1">
      <alignment vertical="top"/>
    </xf>
    <xf numFmtId="49" fontId="7" fillId="0" borderId="0" xfId="988" applyNumberFormat="1" applyFont="1" applyFill="1" applyAlignment="1" applyProtection="1">
      <alignment horizontal="left"/>
    </xf>
    <xf numFmtId="0" fontId="4" fillId="0" borderId="0" xfId="988" applyNumberFormat="1" applyFont="1" applyFill="1" applyAlignment="1" applyProtection="1">
      <alignment horizontal="left" wrapText="1"/>
    </xf>
    <xf numFmtId="4" fontId="3" fillId="0" borderId="0" xfId="988" applyNumberFormat="1" applyFont="1" applyFill="1" applyBorder="1" applyAlignment="1" applyProtection="1">
      <alignment horizontal="right" shrinkToFit="1"/>
    </xf>
    <xf numFmtId="0" fontId="41" fillId="0" borderId="0" xfId="0" applyFont="1" applyProtection="1"/>
    <xf numFmtId="49" fontId="7" fillId="0" borderId="75" xfId="988" applyNumberFormat="1" applyFont="1" applyFill="1" applyBorder="1" applyAlignment="1" applyProtection="1">
      <alignment vertical="top"/>
    </xf>
    <xf numFmtId="0" fontId="79" fillId="0" borderId="75" xfId="988" applyFont="1" applyFill="1" applyBorder="1" applyAlignment="1" applyProtection="1">
      <alignment horizontal="left"/>
    </xf>
    <xf numFmtId="0" fontId="79" fillId="0" borderId="0" xfId="988" applyFont="1" applyFill="1" applyBorder="1" applyAlignment="1" applyProtection="1">
      <alignment horizontal="left"/>
    </xf>
    <xf numFmtId="0" fontId="7" fillId="0" borderId="0" xfId="988" applyFont="1" applyFill="1" applyBorder="1" applyAlignment="1" applyProtection="1">
      <alignment horizontal="center"/>
    </xf>
    <xf numFmtId="0" fontId="7" fillId="0" borderId="0" xfId="988" applyFont="1" applyFill="1" applyBorder="1" applyAlignment="1" applyProtection="1">
      <alignment horizontal="right"/>
    </xf>
    <xf numFmtId="174" fontId="7" fillId="0" borderId="0" xfId="988" applyNumberFormat="1" applyFont="1" applyFill="1" applyBorder="1" applyAlignment="1" applyProtection="1">
      <alignment horizontal="right"/>
    </xf>
    <xf numFmtId="174" fontId="79" fillId="0" borderId="0" xfId="988" applyNumberFormat="1" applyFont="1" applyFill="1" applyBorder="1" applyAlignment="1" applyProtection="1">
      <alignment horizontal="right"/>
    </xf>
    <xf numFmtId="49" fontId="7" fillId="0" borderId="0" xfId="988" applyNumberFormat="1" applyFont="1" applyFill="1" applyBorder="1" applyAlignment="1" applyProtection="1">
      <alignment vertical="top"/>
    </xf>
    <xf numFmtId="0" fontId="7" fillId="0" borderId="0" xfId="0" applyNumberFormat="1" applyFont="1" applyFill="1" applyAlignment="1" applyProtection="1">
      <alignment horizontal="left" wrapText="1"/>
    </xf>
    <xf numFmtId="0" fontId="7" fillId="0" borderId="0" xfId="989" applyFont="1" applyFill="1" applyProtection="1"/>
    <xf numFmtId="49" fontId="79" fillId="0" borderId="75" xfId="988" applyNumberFormat="1" applyFont="1" applyFill="1" applyBorder="1" applyAlignment="1" applyProtection="1">
      <alignment vertical="top"/>
    </xf>
    <xf numFmtId="0" fontId="79" fillId="0" borderId="75" xfId="988" applyFont="1" applyFill="1" applyBorder="1" applyAlignment="1" applyProtection="1">
      <alignment horizontal="center"/>
    </xf>
    <xf numFmtId="0" fontId="79" fillId="0" borderId="75" xfId="988" applyFont="1" applyFill="1" applyBorder="1" applyAlignment="1" applyProtection="1">
      <alignment horizontal="right"/>
    </xf>
    <xf numFmtId="174" fontId="79" fillId="0" borderId="75" xfId="988" applyNumberFormat="1" applyFont="1" applyFill="1" applyBorder="1" applyAlignment="1" applyProtection="1">
      <alignment horizontal="right"/>
    </xf>
    <xf numFmtId="49" fontId="79" fillId="0" borderId="0" xfId="988" applyNumberFormat="1" applyFont="1" applyFill="1" applyBorder="1" applyAlignment="1" applyProtection="1">
      <alignment vertical="top"/>
    </xf>
    <xf numFmtId="0" fontId="79" fillId="0" borderId="0" xfId="988" applyFont="1" applyFill="1" applyBorder="1" applyAlignment="1" applyProtection="1">
      <alignment horizontal="center"/>
    </xf>
    <xf numFmtId="0" fontId="79" fillId="0" borderId="0" xfId="988" applyFont="1" applyFill="1" applyBorder="1" applyAlignment="1" applyProtection="1">
      <alignment horizontal="right"/>
    </xf>
    <xf numFmtId="0" fontId="4" fillId="0" borderId="0" xfId="0" applyFont="1" applyFill="1" applyBorder="1" applyProtection="1"/>
    <xf numFmtId="174" fontId="81" fillId="0" borderId="0" xfId="996" applyNumberFormat="1" applyFont="1" applyFill="1" applyBorder="1" applyProtection="1"/>
    <xf numFmtId="49" fontId="51" fillId="27" borderId="79" xfId="0" applyNumberFormat="1" applyFont="1" applyFill="1" applyBorder="1" applyAlignment="1" applyProtection="1">
      <alignment horizontal="left" vertical="top" wrapText="1"/>
    </xf>
    <xf numFmtId="4" fontId="49" fillId="27" borderId="34" xfId="0" applyNumberFormat="1" applyFont="1" applyFill="1" applyBorder="1" applyAlignment="1" applyProtection="1">
      <alignment horizontal="right" vertical="top" wrapText="1"/>
    </xf>
    <xf numFmtId="4" fontId="46" fillId="27" borderId="80" xfId="0" applyNumberFormat="1" applyFont="1" applyFill="1" applyBorder="1" applyAlignment="1" applyProtection="1">
      <alignment horizontal="right" vertical="top" wrapText="1"/>
    </xf>
    <xf numFmtId="172" fontId="46" fillId="27" borderId="34" xfId="279" applyNumberFormat="1" applyFont="1" applyFill="1" applyBorder="1" applyAlignment="1" applyProtection="1">
      <alignment horizontal="right" vertical="top" shrinkToFit="1"/>
    </xf>
    <xf numFmtId="172" fontId="49" fillId="27" borderId="81" xfId="0" applyNumberFormat="1" applyFont="1" applyFill="1" applyBorder="1" applyAlignment="1" applyProtection="1">
      <alignment horizontal="right" vertical="top" shrinkToFit="1"/>
    </xf>
    <xf numFmtId="49" fontId="79" fillId="0" borderId="0" xfId="988" applyNumberFormat="1" applyFont="1" applyFill="1" applyAlignment="1" applyProtection="1">
      <alignment vertical="top"/>
    </xf>
    <xf numFmtId="0" fontId="85" fillId="0" borderId="0" xfId="986" applyFont="1" applyFill="1" applyProtection="1"/>
    <xf numFmtId="174" fontId="79" fillId="0" borderId="0" xfId="988" applyNumberFormat="1" applyFont="1" applyFill="1" applyAlignment="1" applyProtection="1">
      <alignment horizontal="right"/>
    </xf>
    <xf numFmtId="0" fontId="79" fillId="0" borderId="0" xfId="988" applyFont="1" applyFill="1" applyProtection="1"/>
    <xf numFmtId="49" fontId="86" fillId="0" borderId="0" xfId="988" applyNumberFormat="1" applyFont="1" applyFill="1" applyAlignment="1" applyProtection="1">
      <alignment vertical="top"/>
    </xf>
    <xf numFmtId="49" fontId="86" fillId="0" borderId="0" xfId="988" applyNumberFormat="1" applyFont="1" applyFill="1" applyProtection="1"/>
    <xf numFmtId="0" fontId="86" fillId="0" borderId="0" xfId="988" applyFont="1" applyFill="1" applyAlignment="1" applyProtection="1">
      <alignment horizontal="center"/>
    </xf>
    <xf numFmtId="0" fontId="86" fillId="0" borderId="0" xfId="988" applyFont="1" applyFill="1" applyAlignment="1" applyProtection="1">
      <alignment horizontal="right"/>
    </xf>
    <xf numFmtId="174" fontId="86" fillId="0" borderId="0" xfId="988" applyNumberFormat="1" applyFont="1" applyFill="1" applyAlignment="1" applyProtection="1">
      <alignment horizontal="right"/>
    </xf>
    <xf numFmtId="0" fontId="86" fillId="0" borderId="0" xfId="988" applyFont="1" applyFill="1" applyProtection="1"/>
    <xf numFmtId="0" fontId="36" fillId="0" borderId="0" xfId="986" applyFont="1" applyFill="1" applyBorder="1" applyProtection="1"/>
    <xf numFmtId="2" fontId="86" fillId="0" borderId="0" xfId="988" applyNumberFormat="1" applyFont="1" applyFill="1" applyAlignment="1" applyProtection="1">
      <alignment horizontal="right"/>
    </xf>
    <xf numFmtId="174" fontId="86" fillId="0" borderId="0" xfId="0" applyNumberFormat="1" applyFont="1" applyFill="1" applyProtection="1"/>
    <xf numFmtId="0" fontId="36" fillId="0" borderId="0" xfId="0" applyFont="1" applyFill="1" applyProtection="1"/>
    <xf numFmtId="49" fontId="86" fillId="0" borderId="75" xfId="0" applyNumberFormat="1" applyFont="1" applyFill="1" applyBorder="1" applyAlignment="1" applyProtection="1">
      <alignment vertical="top"/>
    </xf>
    <xf numFmtId="0" fontId="86" fillId="0" borderId="75" xfId="0" applyFont="1" applyFill="1" applyBorder="1" applyAlignment="1" applyProtection="1">
      <alignment horizontal="center"/>
    </xf>
    <xf numFmtId="0" fontId="86" fillId="0" borderId="75" xfId="0" applyFont="1" applyFill="1" applyBorder="1" applyAlignment="1" applyProtection="1">
      <alignment horizontal="right"/>
    </xf>
    <xf numFmtId="174" fontId="86" fillId="0" borderId="75" xfId="0" applyNumberFormat="1" applyFont="1" applyFill="1" applyBorder="1" applyAlignment="1" applyProtection="1">
      <alignment horizontal="right"/>
    </xf>
    <xf numFmtId="174" fontId="87" fillId="0" borderId="75" xfId="0" applyNumberFormat="1" applyFont="1" applyFill="1" applyBorder="1" applyAlignment="1" applyProtection="1">
      <alignment horizontal="right"/>
    </xf>
    <xf numFmtId="0" fontId="87" fillId="0" borderId="0" xfId="988" applyFont="1" applyFill="1" applyAlignment="1" applyProtection="1">
      <alignment horizontal="center"/>
    </xf>
    <xf numFmtId="0" fontId="87" fillId="0" borderId="0" xfId="988" applyFont="1" applyFill="1" applyAlignment="1" applyProtection="1">
      <alignment horizontal="right"/>
    </xf>
    <xf numFmtId="0" fontId="36" fillId="0" borderId="0" xfId="0" applyFont="1" applyFill="1" applyBorder="1" applyProtection="1"/>
    <xf numFmtId="49" fontId="89" fillId="0" borderId="0" xfId="988" applyNumberFormat="1" applyFont="1" applyFill="1" applyAlignment="1" applyProtection="1">
      <alignment vertical="top"/>
    </xf>
    <xf numFmtId="0" fontId="86" fillId="0" borderId="0" xfId="988" applyNumberFormat="1" applyFont="1" applyFill="1" applyAlignment="1" applyProtection="1">
      <alignment wrapText="1"/>
    </xf>
    <xf numFmtId="0" fontId="88" fillId="0" borderId="0" xfId="988" applyFont="1" applyFill="1" applyBorder="1" applyProtection="1"/>
    <xf numFmtId="174" fontId="86" fillId="0" borderId="0" xfId="988" applyNumberFormat="1" applyFont="1" applyFill="1" applyProtection="1"/>
    <xf numFmtId="0" fontId="88" fillId="0" borderId="0" xfId="988" applyFont="1" applyFill="1" applyProtection="1"/>
    <xf numFmtId="49" fontId="86" fillId="0" borderId="0" xfId="988" applyNumberFormat="1" applyFont="1" applyFill="1" applyAlignment="1" applyProtection="1">
      <alignment horizontal="left" wrapText="1"/>
    </xf>
    <xf numFmtId="49" fontId="88" fillId="0" borderId="0" xfId="988" applyNumberFormat="1" applyFont="1" applyFill="1" applyAlignment="1" applyProtection="1">
      <alignment vertical="top"/>
    </xf>
    <xf numFmtId="49" fontId="86" fillId="0" borderId="0" xfId="988" applyNumberFormat="1" applyFont="1" applyFill="1" applyAlignment="1" applyProtection="1">
      <alignment horizontal="left"/>
    </xf>
    <xf numFmtId="0" fontId="88" fillId="0" borderId="0" xfId="988" applyNumberFormat="1" applyFont="1" applyFill="1" applyAlignment="1" applyProtection="1">
      <alignment horizontal="left" wrapText="1"/>
    </xf>
    <xf numFmtId="4" fontId="90" fillId="0" borderId="0" xfId="988" applyNumberFormat="1" applyFont="1" applyFill="1" applyBorder="1" applyAlignment="1" applyProtection="1">
      <alignment horizontal="right" shrinkToFit="1"/>
    </xf>
    <xf numFmtId="49" fontId="86" fillId="0" borderId="75" xfId="988" applyNumberFormat="1" applyFont="1" applyFill="1" applyBorder="1" applyAlignment="1" applyProtection="1">
      <alignment vertical="top"/>
    </xf>
    <xf numFmtId="0" fontId="87" fillId="0" borderId="75" xfId="988" applyFont="1" applyFill="1" applyBorder="1" applyAlignment="1" applyProtection="1">
      <alignment horizontal="left"/>
    </xf>
    <xf numFmtId="0" fontId="86" fillId="0" borderId="75" xfId="988" applyFont="1" applyFill="1" applyBorder="1" applyAlignment="1" applyProtection="1">
      <alignment horizontal="center"/>
    </xf>
    <xf numFmtId="0" fontId="86" fillId="0" borderId="75" xfId="988" applyFont="1" applyFill="1" applyBorder="1" applyAlignment="1" applyProtection="1">
      <alignment horizontal="right"/>
    </xf>
    <xf numFmtId="174" fontId="86" fillId="0" borderId="75" xfId="988" applyNumberFormat="1" applyFont="1" applyFill="1" applyBorder="1" applyAlignment="1" applyProtection="1">
      <alignment horizontal="right"/>
    </xf>
    <xf numFmtId="0" fontId="87" fillId="0" borderId="0" xfId="988" applyFont="1" applyFill="1" applyBorder="1" applyAlignment="1" applyProtection="1">
      <alignment horizontal="left"/>
    </xf>
    <xf numFmtId="0" fontId="86" fillId="0" borderId="0" xfId="988" applyFont="1" applyFill="1" applyBorder="1" applyAlignment="1" applyProtection="1">
      <alignment horizontal="center"/>
    </xf>
    <xf numFmtId="0" fontId="86" fillId="0" borderId="0" xfId="988" applyFont="1" applyFill="1" applyBorder="1" applyAlignment="1" applyProtection="1">
      <alignment horizontal="right"/>
    </xf>
    <xf numFmtId="174" fontId="86" fillId="0" borderId="0" xfId="988" applyNumberFormat="1" applyFont="1" applyFill="1" applyBorder="1" applyAlignment="1" applyProtection="1">
      <alignment horizontal="right"/>
    </xf>
    <xf numFmtId="174" fontId="87" fillId="0" borderId="0" xfId="988" applyNumberFormat="1" applyFont="1" applyFill="1" applyBorder="1" applyAlignment="1" applyProtection="1">
      <alignment horizontal="right"/>
    </xf>
    <xf numFmtId="49" fontId="86" fillId="0" borderId="0" xfId="988" applyNumberFormat="1" applyFont="1" applyFill="1" applyBorder="1" applyAlignment="1" applyProtection="1">
      <alignment vertical="top"/>
    </xf>
    <xf numFmtId="49" fontId="4" fillId="0" borderId="0" xfId="0" applyNumberFormat="1" applyFont="1" applyFill="1" applyAlignment="1" applyProtection="1">
      <alignment horizontal="left" wrapText="1"/>
    </xf>
    <xf numFmtId="49" fontId="87" fillId="0" borderId="75" xfId="988" applyNumberFormat="1" applyFont="1" applyFill="1" applyBorder="1" applyAlignment="1" applyProtection="1">
      <alignment vertical="top"/>
    </xf>
    <xf numFmtId="0" fontId="87" fillId="0" borderId="75" xfId="988" applyFont="1" applyFill="1" applyBorder="1" applyAlignment="1" applyProtection="1">
      <alignment horizontal="center"/>
    </xf>
    <xf numFmtId="0" fontId="87" fillId="0" borderId="75" xfId="988" applyFont="1" applyFill="1" applyBorder="1" applyAlignment="1" applyProtection="1">
      <alignment horizontal="right"/>
    </xf>
    <xf numFmtId="174" fontId="87" fillId="0" borderId="75" xfId="988" applyNumberFormat="1" applyFont="1" applyFill="1" applyBorder="1" applyAlignment="1" applyProtection="1">
      <alignment horizontal="right"/>
    </xf>
    <xf numFmtId="49" fontId="87" fillId="0" borderId="0" xfId="988" applyNumberFormat="1" applyFont="1" applyFill="1" applyBorder="1" applyAlignment="1" applyProtection="1">
      <alignment vertical="top"/>
    </xf>
    <xf numFmtId="0" fontId="87" fillId="0" borderId="0" xfId="988" applyFont="1" applyFill="1" applyBorder="1" applyAlignment="1" applyProtection="1">
      <alignment horizontal="center"/>
    </xf>
    <xf numFmtId="0" fontId="87" fillId="0" borderId="0" xfId="988" applyFont="1" applyFill="1" applyBorder="1" applyAlignment="1" applyProtection="1">
      <alignment horizontal="right"/>
    </xf>
    <xf numFmtId="0" fontId="88" fillId="0" borderId="0" xfId="0" applyFont="1" applyFill="1" applyBorder="1" applyProtection="1"/>
    <xf numFmtId="174" fontId="36" fillId="0" borderId="0" xfId="996" applyNumberFormat="1" applyFont="1" applyFill="1" applyBorder="1" applyProtection="1"/>
    <xf numFmtId="174" fontId="86" fillId="0" borderId="0" xfId="0" applyNumberFormat="1" applyFont="1" applyFill="1" applyBorder="1" applyAlignment="1" applyProtection="1">
      <alignment horizontal="right"/>
      <protection locked="0"/>
    </xf>
    <xf numFmtId="174" fontId="86" fillId="0" borderId="0" xfId="988" applyNumberFormat="1" applyFont="1" applyFill="1" applyProtection="1">
      <protection locked="0"/>
    </xf>
    <xf numFmtId="174" fontId="7" fillId="0" borderId="0" xfId="986" applyNumberFormat="1" applyFont="1" applyFill="1" applyBorder="1" applyProtection="1">
      <protection locked="0"/>
    </xf>
    <xf numFmtId="49" fontId="7" fillId="0" borderId="82" xfId="986" applyNumberFormat="1" applyFont="1" applyFill="1" applyBorder="1" applyAlignment="1" applyProtection="1">
      <alignment vertical="top"/>
    </xf>
    <xf numFmtId="49" fontId="7" fillId="0" borderId="0" xfId="986" applyNumberFormat="1" applyFont="1" applyFill="1" applyBorder="1" applyAlignment="1" applyProtection="1">
      <alignment wrapText="1"/>
    </xf>
    <xf numFmtId="0" fontId="7" fillId="0" borderId="0" xfId="986" applyFont="1" applyFill="1" applyBorder="1" applyAlignment="1" applyProtection="1">
      <alignment horizontal="center"/>
    </xf>
    <xf numFmtId="2" fontId="7" fillId="0" borderId="0" xfId="988" applyNumberFormat="1" applyFont="1" applyFill="1" applyBorder="1" applyAlignment="1" applyProtection="1">
      <alignment horizontal="right"/>
    </xf>
    <xf numFmtId="174" fontId="7" fillId="0" borderId="83" xfId="986" applyNumberFormat="1" applyFont="1" applyFill="1" applyBorder="1" applyAlignment="1" applyProtection="1">
      <alignment horizontal="right"/>
    </xf>
    <xf numFmtId="0" fontId="7" fillId="0" borderId="0" xfId="986" applyFont="1" applyFill="1" applyProtection="1"/>
    <xf numFmtId="0" fontId="81" fillId="0" borderId="0" xfId="986" applyFont="1" applyFill="1" applyProtection="1"/>
    <xf numFmtId="49" fontId="7" fillId="0" borderId="84" xfId="986" applyNumberFormat="1" applyFont="1" applyFill="1" applyBorder="1" applyAlignment="1" applyProtection="1">
      <alignment vertical="top"/>
    </xf>
    <xf numFmtId="0" fontId="79" fillId="0" borderId="75" xfId="986" applyFont="1" applyFill="1" applyBorder="1" applyAlignment="1" applyProtection="1">
      <alignment horizontal="left"/>
    </xf>
    <xf numFmtId="0" fontId="7" fillId="0" borderId="75" xfId="986" applyFont="1" applyFill="1" applyBorder="1" applyAlignment="1" applyProtection="1">
      <alignment horizontal="center"/>
    </xf>
    <xf numFmtId="0" fontId="7" fillId="0" borderId="75" xfId="986" applyFont="1" applyFill="1" applyBorder="1" applyAlignment="1" applyProtection="1">
      <alignment horizontal="right"/>
    </xf>
    <xf numFmtId="174" fontId="7" fillId="0" borderId="75" xfId="986" applyNumberFormat="1" applyFont="1" applyFill="1" applyBorder="1" applyAlignment="1" applyProtection="1">
      <alignment horizontal="right"/>
    </xf>
    <xf numFmtId="174" fontId="79" fillId="0" borderId="85" xfId="986" applyNumberFormat="1" applyFont="1" applyFill="1" applyBorder="1" applyAlignment="1" applyProtection="1">
      <alignment horizontal="right"/>
    </xf>
    <xf numFmtId="0" fontId="79" fillId="0" borderId="0" xfId="986" applyFont="1" applyFill="1" applyBorder="1" applyAlignment="1" applyProtection="1">
      <alignment horizontal="left"/>
    </xf>
    <xf numFmtId="0" fontId="7" fillId="0" borderId="0" xfId="986" applyFont="1" applyFill="1" applyBorder="1" applyAlignment="1" applyProtection="1">
      <alignment horizontal="right"/>
    </xf>
    <xf numFmtId="174" fontId="7" fillId="0" borderId="0" xfId="986" applyNumberFormat="1" applyFont="1" applyFill="1" applyBorder="1" applyAlignment="1" applyProtection="1">
      <alignment horizontal="right"/>
    </xf>
    <xf numFmtId="174" fontId="79" fillId="0" borderId="83" xfId="986" applyNumberFormat="1" applyFont="1" applyFill="1" applyBorder="1" applyAlignment="1" applyProtection="1">
      <alignment horizontal="right"/>
    </xf>
    <xf numFmtId="49" fontId="7" fillId="0" borderId="82" xfId="988" applyNumberFormat="1" applyFont="1" applyFill="1" applyBorder="1" applyAlignment="1" applyProtection="1">
      <alignment vertical="top"/>
    </xf>
    <xf numFmtId="0" fontId="7" fillId="0" borderId="0" xfId="988" applyFont="1" applyFill="1" applyBorder="1" applyProtection="1"/>
    <xf numFmtId="174" fontId="7" fillId="0" borderId="83" xfId="988" applyNumberFormat="1" applyFont="1" applyFill="1" applyBorder="1" applyAlignment="1" applyProtection="1">
      <alignment horizontal="right"/>
    </xf>
    <xf numFmtId="174" fontId="79" fillId="0" borderId="83" xfId="988" applyNumberFormat="1" applyFont="1" applyFill="1" applyBorder="1" applyAlignment="1" applyProtection="1">
      <alignment horizontal="right"/>
    </xf>
    <xf numFmtId="0" fontId="41" fillId="0" borderId="30" xfId="0" applyFont="1" applyFill="1" applyBorder="1" applyAlignment="1" applyProtection="1">
      <alignment vertical="top"/>
    </xf>
    <xf numFmtId="172" fontId="41" fillId="0" borderId="30" xfId="279" applyNumberFormat="1" applyFont="1" applyFill="1" applyBorder="1" applyAlignment="1" applyProtection="1">
      <alignment horizontal="right" vertical="top" shrinkToFit="1"/>
    </xf>
    <xf numFmtId="0" fontId="41" fillId="0" borderId="0" xfId="339" applyFont="1" applyAlignment="1" applyProtection="1">
      <alignment vertical="top"/>
    </xf>
    <xf numFmtId="49" fontId="79" fillId="0" borderId="84" xfId="988" applyNumberFormat="1" applyFont="1" applyFill="1" applyBorder="1" applyAlignment="1" applyProtection="1">
      <alignment vertical="top"/>
    </xf>
    <xf numFmtId="174" fontId="81" fillId="0" borderId="0" xfId="986" applyNumberFormat="1" applyFont="1" applyFill="1" applyBorder="1" applyProtection="1"/>
    <xf numFmtId="0" fontId="58" fillId="0" borderId="6" xfId="344" applyFont="1" applyFill="1" applyBorder="1" applyProtection="1">
      <protection locked="0"/>
    </xf>
    <xf numFmtId="4" fontId="52" fillId="0" borderId="0" xfId="997" applyNumberFormat="1" applyFont="1" applyProtection="1"/>
    <xf numFmtId="4" fontId="52" fillId="0" borderId="0" xfId="997" applyNumberFormat="1" applyFont="1" applyAlignment="1" applyProtection="1">
      <alignment horizontal="left"/>
    </xf>
    <xf numFmtId="4" fontId="52" fillId="0" borderId="0" xfId="997" applyNumberFormat="1" applyFont="1" applyFill="1" applyAlignment="1" applyProtection="1">
      <alignment horizontal="left"/>
    </xf>
    <xf numFmtId="0" fontId="52" fillId="0" borderId="0" xfId="997" applyFont="1" applyFill="1" applyBorder="1" applyProtection="1"/>
    <xf numFmtId="0" fontId="52" fillId="0" borderId="0" xfId="997" applyFont="1" applyFill="1" applyProtection="1"/>
    <xf numFmtId="0" fontId="52" fillId="0" borderId="0" xfId="997" applyFont="1" applyProtection="1"/>
    <xf numFmtId="0" fontId="110" fillId="0" borderId="109" xfId="997" applyFont="1" applyFill="1" applyBorder="1" applyAlignment="1" applyProtection="1">
      <alignment wrapText="1"/>
    </xf>
    <xf numFmtId="0" fontId="110" fillId="0" borderId="110" xfId="997" applyFont="1" applyBorder="1" applyAlignment="1" applyProtection="1">
      <alignment wrapText="1"/>
    </xf>
    <xf numFmtId="0" fontId="110" fillId="0" borderId="0" xfId="997" applyFont="1" applyBorder="1" applyAlignment="1" applyProtection="1">
      <alignment wrapText="1"/>
    </xf>
    <xf numFmtId="0" fontId="52" fillId="0" borderId="0" xfId="0" applyFont="1" applyAlignment="1" applyProtection="1">
      <alignment horizontal="center" vertical="top"/>
    </xf>
    <xf numFmtId="0" fontId="52" fillId="0" borderId="0" xfId="0" applyFont="1" applyAlignment="1" applyProtection="1">
      <alignment horizontal="left"/>
    </xf>
    <xf numFmtId="0" fontId="52" fillId="0" borderId="0" xfId="0" applyFont="1" applyFill="1" applyAlignment="1" applyProtection="1">
      <alignment horizontal="left"/>
    </xf>
    <xf numFmtId="4" fontId="52" fillId="0" borderId="0" xfId="0" applyNumberFormat="1" applyFont="1" applyFill="1" applyBorder="1" applyProtection="1"/>
    <xf numFmtId="0" fontId="52" fillId="0" borderId="0" xfId="0" applyFont="1" applyFill="1" applyProtection="1"/>
    <xf numFmtId="0" fontId="52" fillId="0" borderId="0" xfId="0" applyFont="1" applyProtection="1"/>
    <xf numFmtId="49" fontId="53" fillId="0" borderId="0" xfId="0" applyNumberFormat="1" applyFont="1" applyAlignment="1" applyProtection="1">
      <alignment vertical="top"/>
    </xf>
    <xf numFmtId="0" fontId="52" fillId="0" borderId="0" xfId="0" applyFont="1" applyAlignment="1" applyProtection="1">
      <alignment wrapText="1"/>
    </xf>
    <xf numFmtId="49" fontId="52" fillId="0" borderId="0" xfId="0" applyNumberFormat="1" applyFont="1" applyAlignment="1" applyProtection="1">
      <alignment vertical="top"/>
    </xf>
    <xf numFmtId="0" fontId="52" fillId="0" borderId="0" xfId="0" applyFont="1" applyAlignment="1" applyProtection="1">
      <alignment horizontal="left" wrapText="1"/>
    </xf>
    <xf numFmtId="0" fontId="52" fillId="0" borderId="0" xfId="0" applyFont="1" applyAlignment="1" applyProtection="1">
      <alignment vertical="top" wrapText="1"/>
    </xf>
    <xf numFmtId="0" fontId="4" fillId="0" borderId="0" xfId="0" applyFont="1" applyProtection="1"/>
    <xf numFmtId="0" fontId="52" fillId="0" borderId="0" xfId="0" applyFont="1" applyAlignment="1" applyProtection="1">
      <alignment horizontal="left" vertical="top" wrapText="1"/>
    </xf>
    <xf numFmtId="49" fontId="52" fillId="0" borderId="0" xfId="0" applyNumberFormat="1" applyFont="1" applyAlignment="1" applyProtection="1">
      <alignment vertical="top" wrapText="1"/>
    </xf>
    <xf numFmtId="0" fontId="52" fillId="0" borderId="0" xfId="0" applyFont="1" applyAlignment="1" applyProtection="1">
      <alignment vertical="top"/>
    </xf>
    <xf numFmtId="0" fontId="52" fillId="0" borderId="0" xfId="982" applyFont="1" applyBorder="1" applyProtection="1"/>
    <xf numFmtId="0" fontId="52" fillId="0" borderId="0" xfId="982" applyFont="1" applyProtection="1"/>
    <xf numFmtId="0" fontId="52" fillId="0" borderId="0" xfId="982" applyFont="1" applyFill="1" applyBorder="1" applyProtection="1"/>
    <xf numFmtId="0" fontId="61" fillId="0" borderId="0" xfId="982" applyFont="1" applyProtection="1"/>
    <xf numFmtId="0" fontId="61" fillId="0" borderId="0" xfId="982" applyFont="1" applyBorder="1" applyProtection="1"/>
    <xf numFmtId="0" fontId="58" fillId="0" borderId="0" xfId="982" applyFont="1" applyProtection="1"/>
    <xf numFmtId="0" fontId="58" fillId="0" borderId="0" xfId="982" applyFont="1" applyBorder="1" applyProtection="1"/>
    <xf numFmtId="0" fontId="58" fillId="0" borderId="0" xfId="982" applyFont="1" applyFill="1" applyBorder="1" applyProtection="1"/>
    <xf numFmtId="4" fontId="58" fillId="0" borderId="72" xfId="982" applyNumberFormat="1" applyFont="1" applyFill="1" applyBorder="1" applyProtection="1"/>
    <xf numFmtId="0" fontId="58" fillId="0" borderId="72" xfId="982" applyFont="1" applyFill="1" applyBorder="1" applyProtection="1"/>
    <xf numFmtId="0" fontId="58" fillId="0" borderId="0" xfId="0" applyFont="1" applyAlignment="1" applyProtection="1">
      <alignment wrapText="1"/>
    </xf>
    <xf numFmtId="0" fontId="58" fillId="0" borderId="72" xfId="982" applyFont="1" applyBorder="1" applyProtection="1"/>
    <xf numFmtId="4" fontId="58" fillId="0" borderId="0" xfId="982" applyNumberFormat="1" applyFont="1" applyBorder="1" applyProtection="1"/>
    <xf numFmtId="0" fontId="57" fillId="0" borderId="0" xfId="982" applyFont="1" applyProtection="1"/>
    <xf numFmtId="0" fontId="57" fillId="0" borderId="0" xfId="982" applyFont="1" applyBorder="1" applyProtection="1"/>
    <xf numFmtId="0" fontId="58" fillId="0" borderId="111" xfId="982" applyFont="1" applyBorder="1" applyProtection="1"/>
    <xf numFmtId="4" fontId="57" fillId="0" borderId="72" xfId="982" applyNumberFormat="1" applyFont="1" applyBorder="1" applyProtection="1"/>
    <xf numFmtId="4" fontId="57" fillId="0" borderId="0" xfId="982" applyNumberFormat="1" applyFont="1" applyBorder="1" applyProtection="1"/>
    <xf numFmtId="2" fontId="58" fillId="0" borderId="72" xfId="982" applyNumberFormat="1" applyFont="1" applyBorder="1" applyProtection="1"/>
    <xf numFmtId="2" fontId="58" fillId="0" borderId="0" xfId="982" applyNumberFormat="1" applyFont="1" applyBorder="1" applyProtection="1"/>
    <xf numFmtId="0" fontId="52" fillId="0" borderId="111" xfId="982" applyFont="1" applyBorder="1" applyProtection="1"/>
    <xf numFmtId="2" fontId="52" fillId="0" borderId="0" xfId="344" applyNumberFormat="1" applyFont="1" applyAlignment="1" applyProtection="1">
      <alignment vertical="top"/>
    </xf>
    <xf numFmtId="4" fontId="60" fillId="0" borderId="0" xfId="344" applyNumberFormat="1" applyFont="1" applyProtection="1"/>
    <xf numFmtId="0" fontId="52" fillId="0" borderId="0" xfId="344" applyFont="1" applyProtection="1"/>
    <xf numFmtId="0" fontId="52" fillId="0" borderId="54" xfId="344" applyFont="1" applyBorder="1" applyProtection="1"/>
    <xf numFmtId="0" fontId="52" fillId="0" borderId="26" xfId="344" applyFont="1" applyBorder="1" applyProtection="1"/>
    <xf numFmtId="0" fontId="52" fillId="0" borderId="0" xfId="344" applyFont="1" applyBorder="1" applyProtection="1"/>
    <xf numFmtId="0" fontId="52" fillId="0" borderId="0" xfId="344" applyFont="1" applyAlignment="1" applyProtection="1">
      <alignment vertical="top" wrapText="1"/>
    </xf>
    <xf numFmtId="0" fontId="52" fillId="0" borderId="0" xfId="344" applyFont="1" applyAlignment="1" applyProtection="1">
      <alignment horizontal="left"/>
    </xf>
    <xf numFmtId="0" fontId="52" fillId="0" borderId="0" xfId="344" applyFont="1" applyFill="1" applyAlignment="1" applyProtection="1">
      <alignment horizontal="left"/>
    </xf>
    <xf numFmtId="4" fontId="52" fillId="0" borderId="6" xfId="344" applyNumberFormat="1" applyFont="1" applyFill="1" applyBorder="1" applyProtection="1"/>
    <xf numFmtId="4" fontId="52" fillId="0" borderId="0" xfId="344" applyNumberFormat="1" applyFont="1" applyFill="1" applyProtection="1"/>
    <xf numFmtId="0" fontId="52" fillId="0" borderId="12" xfId="344" applyFont="1" applyBorder="1" applyProtection="1"/>
    <xf numFmtId="2" fontId="52" fillId="0" borderId="54" xfId="344" applyNumberFormat="1" applyFont="1" applyBorder="1" applyAlignment="1" applyProtection="1">
      <alignment vertical="top"/>
    </xf>
    <xf numFmtId="0" fontId="52" fillId="0" borderId="54" xfId="344" applyFont="1" applyBorder="1" applyAlignment="1" applyProtection="1">
      <alignment vertical="top" wrapText="1"/>
    </xf>
    <xf numFmtId="0" fontId="52" fillId="0" borderId="54" xfId="344" applyFont="1" applyBorder="1" applyAlignment="1" applyProtection="1">
      <alignment horizontal="left"/>
    </xf>
    <xf numFmtId="0" fontId="52" fillId="0" borderId="54" xfId="344" applyFont="1" applyFill="1" applyBorder="1" applyAlignment="1" applyProtection="1">
      <alignment horizontal="left"/>
    </xf>
    <xf numFmtId="4" fontId="52" fillId="0" borderId="77" xfId="344" applyNumberFormat="1" applyFont="1" applyFill="1" applyBorder="1" applyProtection="1"/>
    <xf numFmtId="4" fontId="52" fillId="0" borderId="121" xfId="344" applyNumberFormat="1" applyFont="1" applyFill="1" applyBorder="1" applyProtection="1"/>
    <xf numFmtId="0" fontId="54" fillId="0" borderId="0" xfId="344" applyFont="1" applyAlignment="1" applyProtection="1">
      <alignment horizontal="centerContinuous" vertical="top" wrapText="1"/>
    </xf>
    <xf numFmtId="0" fontId="53" fillId="0" borderId="0" xfId="344" applyFont="1" applyAlignment="1" applyProtection="1">
      <alignment horizontal="centerContinuous"/>
    </xf>
    <xf numFmtId="0" fontId="53" fillId="0" borderId="0" xfId="344" applyFont="1" applyFill="1" applyAlignment="1" applyProtection="1">
      <alignment horizontal="centerContinuous"/>
    </xf>
    <xf numFmtId="4" fontId="53" fillId="0" borderId="120" xfId="344" applyNumberFormat="1" applyFont="1" applyFill="1" applyBorder="1" applyAlignment="1" applyProtection="1">
      <alignment horizontal="centerContinuous"/>
    </xf>
    <xf numFmtId="4" fontId="53" fillId="0" borderId="0" xfId="344" applyNumberFormat="1" applyFont="1" applyFill="1" applyBorder="1" applyAlignment="1" applyProtection="1"/>
    <xf numFmtId="0" fontId="52" fillId="0" borderId="34" xfId="344" applyFont="1" applyBorder="1" applyProtection="1"/>
    <xf numFmtId="0" fontId="52" fillId="0" borderId="0" xfId="344" applyFont="1" applyAlignment="1" applyProtection="1">
      <alignment horizontal="centerContinuous" vertical="top" wrapText="1"/>
    </xf>
    <xf numFmtId="4" fontId="52" fillId="0" borderId="0" xfId="344" applyNumberFormat="1" applyFont="1" applyFill="1" applyBorder="1" applyAlignment="1" applyProtection="1"/>
    <xf numFmtId="4" fontId="52" fillId="0" borderId="0" xfId="344" applyNumberFormat="1" applyFont="1" applyFill="1" applyAlignment="1" applyProtection="1"/>
    <xf numFmtId="4" fontId="52" fillId="0" borderId="0" xfId="344" applyNumberFormat="1" applyFont="1" applyFill="1" applyBorder="1" applyProtection="1"/>
    <xf numFmtId="49" fontId="53" fillId="0" borderId="0" xfId="344" applyNumberFormat="1" applyFont="1" applyAlignment="1" applyProtection="1">
      <alignment vertical="top"/>
    </xf>
    <xf numFmtId="0" fontId="52" fillId="0" borderId="0" xfId="344" applyFont="1" applyAlignment="1" applyProtection="1">
      <alignment wrapText="1"/>
    </xf>
    <xf numFmtId="49" fontId="52" fillId="0" borderId="0" xfId="344" applyNumberFormat="1" applyFont="1" applyAlignment="1" applyProtection="1">
      <alignment vertical="top"/>
    </xf>
    <xf numFmtId="0" fontId="52" fillId="0" borderId="0" xfId="344" applyFont="1" applyAlignment="1" applyProtection="1">
      <alignment horizontal="left" vertical="top" wrapText="1"/>
    </xf>
    <xf numFmtId="49" fontId="52" fillId="0" borderId="0" xfId="344" applyNumberFormat="1" applyFont="1" applyAlignment="1" applyProtection="1">
      <alignment vertical="top" wrapText="1"/>
    </xf>
    <xf numFmtId="2" fontId="56" fillId="0" borderId="0" xfId="344" applyNumberFormat="1" applyFont="1" applyAlignment="1" applyProtection="1">
      <alignment vertical="top"/>
    </xf>
    <xf numFmtId="0" fontId="52" fillId="0" borderId="0" xfId="344" applyFont="1" applyBorder="1" applyAlignment="1" applyProtection="1">
      <alignment vertical="top" wrapText="1"/>
    </xf>
    <xf numFmtId="0" fontId="52" fillId="0" borderId="0" xfId="344" applyFont="1" applyBorder="1" applyAlignment="1" applyProtection="1">
      <alignment horizontal="left"/>
    </xf>
    <xf numFmtId="0" fontId="52" fillId="0" borderId="0" xfId="344" applyFont="1" applyFill="1" applyBorder="1" applyAlignment="1" applyProtection="1">
      <alignment horizontal="left"/>
    </xf>
    <xf numFmtId="4" fontId="52" fillId="0" borderId="34" xfId="344" applyNumberFormat="1" applyFont="1" applyFill="1" applyBorder="1" applyProtection="1"/>
    <xf numFmtId="0" fontId="55" fillId="0" borderId="34" xfId="344" applyFont="1" applyBorder="1" applyProtection="1"/>
    <xf numFmtId="0" fontId="55" fillId="0" borderId="0" xfId="344" applyFont="1" applyBorder="1" applyProtection="1"/>
    <xf numFmtId="0" fontId="55" fillId="0" borderId="0" xfId="344" applyFont="1" applyProtection="1"/>
    <xf numFmtId="49" fontId="55" fillId="0" borderId="0" xfId="344" applyNumberFormat="1" applyFont="1" applyAlignment="1" applyProtection="1">
      <alignment vertical="top"/>
    </xf>
    <xf numFmtId="0" fontId="55" fillId="0" borderId="0" xfId="344" applyFont="1" applyAlignment="1" applyProtection="1">
      <alignment horizontal="left"/>
    </xf>
    <xf numFmtId="0" fontId="55" fillId="0" borderId="0" xfId="344" applyFont="1" applyFill="1" applyAlignment="1" applyProtection="1">
      <alignment horizontal="left"/>
    </xf>
    <xf numFmtId="4" fontId="55" fillId="0" borderId="6" xfId="344" applyNumberFormat="1" applyFont="1" applyFill="1" applyBorder="1" applyProtection="1"/>
    <xf numFmtId="4" fontId="55" fillId="0" borderId="0" xfId="344" applyNumberFormat="1" applyFont="1" applyFill="1" applyProtection="1"/>
    <xf numFmtId="0" fontId="53" fillId="0" borderId="0" xfId="344" applyFont="1" applyProtection="1"/>
    <xf numFmtId="2" fontId="53" fillId="0" borderId="0" xfId="344" applyNumberFormat="1" applyFont="1" applyAlignment="1" applyProtection="1">
      <alignment vertical="top"/>
    </xf>
    <xf numFmtId="0" fontId="53" fillId="0" borderId="0" xfId="344" applyFont="1" applyAlignment="1" applyProtection="1">
      <alignment horizontal="left"/>
    </xf>
    <xf numFmtId="0" fontId="53" fillId="0" borderId="0" xfId="344" applyFont="1" applyFill="1" applyAlignment="1" applyProtection="1">
      <alignment horizontal="left"/>
    </xf>
    <xf numFmtId="4" fontId="53" fillId="0" borderId="6" xfId="344" applyNumberFormat="1" applyFont="1" applyFill="1" applyBorder="1" applyAlignment="1" applyProtection="1">
      <alignment horizontal="right"/>
    </xf>
    <xf numFmtId="4" fontId="53" fillId="0" borderId="0" xfId="344" applyNumberFormat="1" applyFont="1" applyFill="1" applyProtection="1"/>
    <xf numFmtId="2" fontId="53" fillId="0" borderId="0" xfId="344" applyNumberFormat="1" applyFont="1" applyProtection="1"/>
    <xf numFmtId="0" fontId="53" fillId="0" borderId="0" xfId="344" applyFont="1" applyAlignment="1" applyProtection="1">
      <alignment vertical="top" wrapText="1"/>
    </xf>
    <xf numFmtId="0" fontId="53" fillId="0" borderId="0" xfId="344" applyFont="1" applyBorder="1" applyProtection="1"/>
    <xf numFmtId="0" fontId="52" fillId="0" borderId="0" xfId="344" applyFont="1" applyFill="1" applyProtection="1"/>
    <xf numFmtId="2" fontId="53" fillId="0" borderId="0" xfId="344" applyNumberFormat="1" applyFont="1" applyBorder="1" applyAlignment="1" applyProtection="1">
      <alignment vertical="top"/>
    </xf>
    <xf numFmtId="49" fontId="53" fillId="0" borderId="0" xfId="344" applyNumberFormat="1" applyFont="1" applyBorder="1" applyAlignment="1" applyProtection="1">
      <alignment vertical="top"/>
    </xf>
    <xf numFmtId="0" fontId="53" fillId="0" borderId="0" xfId="344" applyFont="1" applyBorder="1" applyAlignment="1" applyProtection="1">
      <alignment horizontal="left"/>
    </xf>
    <xf numFmtId="0" fontId="53" fillId="0" borderId="0" xfId="344" applyFont="1" applyFill="1" applyBorder="1" applyAlignment="1" applyProtection="1">
      <alignment horizontal="left"/>
    </xf>
    <xf numFmtId="4" fontId="53" fillId="0" borderId="0" xfId="344" applyNumberFormat="1" applyFont="1" applyFill="1" applyBorder="1" applyProtection="1"/>
    <xf numFmtId="4" fontId="53" fillId="0" borderId="0" xfId="344" applyNumberFormat="1" applyFont="1" applyProtection="1"/>
    <xf numFmtId="2" fontId="52" fillId="0" borderId="0" xfId="344" applyNumberFormat="1" applyFont="1" applyBorder="1" applyAlignment="1" applyProtection="1">
      <alignment vertical="top"/>
    </xf>
    <xf numFmtId="2" fontId="52" fillId="0" borderId="26" xfId="344" applyNumberFormat="1" applyFont="1" applyBorder="1" applyAlignment="1" applyProtection="1">
      <alignment vertical="top"/>
    </xf>
    <xf numFmtId="49" fontId="53" fillId="0" borderId="26" xfId="344" applyNumberFormat="1" applyFont="1" applyBorder="1" applyAlignment="1" applyProtection="1">
      <alignment vertical="top"/>
    </xf>
    <xf numFmtId="0" fontId="53" fillId="0" borderId="26" xfId="344" applyFont="1" applyBorder="1" applyAlignment="1" applyProtection="1">
      <alignment horizontal="left"/>
    </xf>
    <xf numFmtId="0" fontId="53" fillId="0" borderId="26" xfId="344" applyFont="1" applyFill="1" applyBorder="1" applyAlignment="1" applyProtection="1">
      <alignment horizontal="left"/>
    </xf>
    <xf numFmtId="4" fontId="53" fillId="0" borderId="22" xfId="344" applyNumberFormat="1" applyFont="1" applyFill="1" applyBorder="1" applyAlignment="1" applyProtection="1">
      <alignment horizontal="right"/>
    </xf>
    <xf numFmtId="4" fontId="53" fillId="0" borderId="12" xfId="344" applyNumberFormat="1" applyFont="1" applyFill="1" applyBorder="1" applyProtection="1"/>
    <xf numFmtId="0" fontId="53" fillId="0" borderId="12" xfId="344" applyFont="1" applyBorder="1" applyProtection="1"/>
    <xf numFmtId="4" fontId="52" fillId="0" borderId="0" xfId="344" applyNumberFormat="1" applyFont="1" applyProtection="1"/>
    <xf numFmtId="0" fontId="53" fillId="0" borderId="54" xfId="344" applyFont="1" applyBorder="1" applyAlignment="1" applyProtection="1">
      <alignment vertical="top" wrapText="1"/>
    </xf>
    <xf numFmtId="0" fontId="53" fillId="0" borderId="54" xfId="344" applyFont="1" applyBorder="1" applyAlignment="1" applyProtection="1">
      <alignment horizontal="left"/>
    </xf>
    <xf numFmtId="0" fontId="53" fillId="0" borderId="54" xfId="344" applyFont="1" applyFill="1" applyBorder="1" applyAlignment="1" applyProtection="1">
      <alignment horizontal="left"/>
    </xf>
    <xf numFmtId="4" fontId="53" fillId="0" borderId="77" xfId="344" applyNumberFormat="1" applyFont="1" applyFill="1" applyBorder="1" applyAlignment="1" applyProtection="1">
      <alignment horizontal="right"/>
    </xf>
    <xf numFmtId="4" fontId="53" fillId="0" borderId="54" xfId="344" applyNumberFormat="1" applyFont="1" applyFill="1" applyBorder="1" applyProtection="1"/>
    <xf numFmtId="0" fontId="58" fillId="0" borderId="0" xfId="344" applyFont="1" applyFill="1" applyProtection="1"/>
    <xf numFmtId="2" fontId="53" fillId="0" borderId="0" xfId="344" applyNumberFormat="1" applyFont="1" applyAlignment="1" applyProtection="1">
      <alignment horizontal="left" vertical="top"/>
    </xf>
    <xf numFmtId="49" fontId="53" fillId="0" borderId="0" xfId="344" applyNumberFormat="1" applyFont="1" applyAlignment="1" applyProtection="1">
      <alignment horizontal="left" vertical="top"/>
    </xf>
    <xf numFmtId="0" fontId="40" fillId="0" borderId="0" xfId="372" applyFont="1" applyFill="1" applyBorder="1" applyAlignment="1" applyProtection="1">
      <alignment horizontal="center" vertical="top"/>
    </xf>
    <xf numFmtId="4" fontId="40" fillId="0" borderId="60" xfId="372" applyNumberFormat="1" applyFont="1" applyFill="1" applyBorder="1" applyAlignment="1" applyProtection="1">
      <alignment horizontal="center" vertical="top" wrapText="1"/>
    </xf>
    <xf numFmtId="172" fontId="40" fillId="0" borderId="6" xfId="372" applyNumberFormat="1" applyFont="1" applyFill="1" applyBorder="1" applyAlignment="1" applyProtection="1">
      <alignment horizontal="right" vertical="top" wrapText="1"/>
    </xf>
    <xf numFmtId="4" fontId="53" fillId="0" borderId="0" xfId="344" applyNumberFormat="1" applyFont="1" applyFill="1" applyAlignment="1" applyProtection="1">
      <alignment horizontal="center"/>
    </xf>
    <xf numFmtId="0" fontId="58" fillId="0" borderId="0" xfId="344" applyFont="1" applyProtection="1"/>
    <xf numFmtId="2" fontId="52" fillId="0" borderId="0" xfId="344" applyNumberFormat="1" applyFont="1" applyFill="1" applyAlignment="1" applyProtection="1">
      <alignment vertical="top"/>
    </xf>
    <xf numFmtId="0" fontId="57" fillId="0" borderId="0" xfId="344" applyFont="1" applyFill="1" applyAlignment="1" applyProtection="1">
      <alignment horizontal="center" vertical="top" wrapText="1"/>
    </xf>
    <xf numFmtId="0" fontId="57" fillId="0" borderId="0" xfId="344" applyFont="1" applyFill="1" applyAlignment="1" applyProtection="1">
      <alignment horizontal="left"/>
    </xf>
    <xf numFmtId="4" fontId="57" fillId="0" borderId="6" xfId="344" applyNumberFormat="1" applyFont="1" applyFill="1" applyBorder="1" applyAlignment="1" applyProtection="1">
      <alignment horizontal="center"/>
    </xf>
    <xf numFmtId="4" fontId="57" fillId="0" borderId="0" xfId="344" applyNumberFormat="1" applyFont="1" applyFill="1" applyAlignment="1" applyProtection="1">
      <alignment horizontal="center"/>
    </xf>
    <xf numFmtId="4" fontId="58" fillId="0" borderId="0" xfId="344" applyNumberFormat="1" applyFont="1" applyProtection="1"/>
    <xf numFmtId="0" fontId="58" fillId="0" borderId="0" xfId="344" applyFont="1" applyFill="1" applyAlignment="1" applyProtection="1">
      <alignment horizontal="left" vertical="top"/>
    </xf>
    <xf numFmtId="0" fontId="58" fillId="0" borderId="0" xfId="344" applyFont="1" applyFill="1" applyAlignment="1" applyProtection="1">
      <alignment vertical="top" wrapText="1"/>
    </xf>
    <xf numFmtId="0" fontId="58" fillId="0" borderId="0" xfId="344" applyFont="1" applyFill="1" applyAlignment="1" applyProtection="1">
      <alignment horizontal="left"/>
    </xf>
    <xf numFmtId="4" fontId="58" fillId="0" borderId="6" xfId="344" applyNumberFormat="1" applyFont="1" applyFill="1" applyBorder="1" applyProtection="1"/>
    <xf numFmtId="0" fontId="58" fillId="0" borderId="0" xfId="344" applyFont="1" applyFill="1" applyAlignment="1" applyProtection="1">
      <alignment horizontal="left" vertical="top" wrapText="1"/>
    </xf>
    <xf numFmtId="0" fontId="58" fillId="0" borderId="0" xfId="344" applyFont="1" applyAlignment="1" applyProtection="1">
      <alignment horizontal="left" vertical="top"/>
    </xf>
    <xf numFmtId="49" fontId="58" fillId="0" borderId="0" xfId="344" applyNumberFormat="1" applyFont="1" applyAlignment="1" applyProtection="1">
      <alignment horizontal="left" vertical="top"/>
    </xf>
    <xf numFmtId="0" fontId="58" fillId="0" borderId="0" xfId="344" applyFont="1" applyAlignment="1" applyProtection="1">
      <alignment vertical="top" wrapText="1"/>
    </xf>
    <xf numFmtId="0" fontId="58" fillId="0" borderId="0" xfId="344" applyFont="1" applyAlignment="1" applyProtection="1">
      <alignment horizontal="left"/>
    </xf>
    <xf numFmtId="0" fontId="59" fillId="0" borderId="0" xfId="344" applyFont="1" applyAlignment="1" applyProtection="1">
      <alignment horizontal="left" vertical="top"/>
    </xf>
    <xf numFmtId="0" fontId="29" fillId="0" borderId="0" xfId="344" applyFont="1" applyAlignment="1" applyProtection="1">
      <alignment vertical="top" wrapText="1"/>
    </xf>
    <xf numFmtId="0" fontId="29" fillId="0" borderId="0" xfId="344" applyFont="1" applyAlignment="1" applyProtection="1">
      <alignment horizontal="left"/>
    </xf>
    <xf numFmtId="0" fontId="29" fillId="0" borderId="0" xfId="344" applyFont="1" applyFill="1" applyAlignment="1" applyProtection="1">
      <alignment horizontal="left"/>
    </xf>
    <xf numFmtId="4" fontId="29" fillId="0" borderId="6" xfId="344" applyNumberFormat="1" applyFont="1" applyFill="1" applyBorder="1" applyProtection="1"/>
    <xf numFmtId="4" fontId="29" fillId="0" borderId="0" xfId="344" applyNumberFormat="1" applyFont="1" applyFill="1" applyProtection="1"/>
    <xf numFmtId="0" fontId="58" fillId="0" borderId="0" xfId="344" applyFont="1" applyAlignment="1" applyProtection="1">
      <alignment horizontal="left" vertical="top" wrapText="1"/>
    </xf>
    <xf numFmtId="4" fontId="57" fillId="0" borderId="0" xfId="344" applyNumberFormat="1" applyFont="1" applyProtection="1"/>
    <xf numFmtId="0" fontId="57" fillId="0" borderId="0" xfId="344" applyFont="1" applyAlignment="1" applyProtection="1">
      <alignment horizontal="left" vertical="top"/>
    </xf>
    <xf numFmtId="2" fontId="58" fillId="0" borderId="0" xfId="344" applyNumberFormat="1" applyFont="1" applyAlignment="1" applyProtection="1">
      <alignment horizontal="left" vertical="top"/>
    </xf>
    <xf numFmtId="2" fontId="52" fillId="0" borderId="119" xfId="344" applyNumberFormat="1" applyFont="1" applyBorder="1" applyAlignment="1" applyProtection="1">
      <alignment vertical="top"/>
    </xf>
    <xf numFmtId="0" fontId="53" fillId="0" borderId="109" xfId="344" applyFont="1" applyBorder="1" applyAlignment="1" applyProtection="1">
      <alignment vertical="top" wrapText="1"/>
    </xf>
    <xf numFmtId="0" fontId="53" fillId="0" borderId="109" xfId="344" applyFont="1" applyBorder="1" applyAlignment="1" applyProtection="1">
      <alignment horizontal="left"/>
    </xf>
    <xf numFmtId="0" fontId="53" fillId="0" borderId="109" xfId="344" applyFont="1" applyFill="1" applyBorder="1" applyAlignment="1" applyProtection="1">
      <alignment horizontal="left"/>
    </xf>
    <xf numFmtId="4" fontId="53" fillId="0" borderId="70" xfId="344" applyNumberFormat="1" applyFont="1" applyFill="1" applyBorder="1" applyProtection="1"/>
    <xf numFmtId="4" fontId="53" fillId="0" borderId="109" xfId="344" applyNumberFormat="1" applyFont="1" applyFill="1" applyBorder="1" applyProtection="1"/>
    <xf numFmtId="2" fontId="53" fillId="0" borderId="110" xfId="344" applyNumberFormat="1" applyFont="1" applyBorder="1" applyProtection="1"/>
    <xf numFmtId="4" fontId="53" fillId="0" borderId="6" xfId="344" applyNumberFormat="1" applyFont="1" applyFill="1" applyBorder="1" applyProtection="1"/>
    <xf numFmtId="0" fontId="57" fillId="0" borderId="0" xfId="344" applyFont="1" applyAlignment="1" applyProtection="1">
      <alignment vertical="top" wrapText="1"/>
    </xf>
    <xf numFmtId="0" fontId="57" fillId="0" borderId="0" xfId="344" applyFont="1" applyAlignment="1" applyProtection="1">
      <alignment horizontal="left"/>
    </xf>
    <xf numFmtId="4" fontId="57" fillId="0" borderId="6" xfId="344" applyNumberFormat="1" applyFont="1" applyFill="1" applyBorder="1" applyProtection="1"/>
    <xf numFmtId="4" fontId="57" fillId="0" borderId="0" xfId="344" applyNumberFormat="1" applyFont="1" applyFill="1" applyProtection="1"/>
    <xf numFmtId="0" fontId="57" fillId="0" borderId="0" xfId="344" applyFont="1" applyAlignment="1" applyProtection="1">
      <alignment horizontal="left" vertical="top" wrapText="1"/>
    </xf>
    <xf numFmtId="0" fontId="57" fillId="0" borderId="0" xfId="344" applyFont="1" applyProtection="1"/>
    <xf numFmtId="0" fontId="57" fillId="0" borderId="0" xfId="344" applyFont="1" applyFill="1" applyProtection="1"/>
    <xf numFmtId="2" fontId="58" fillId="0" borderId="0" xfId="344" applyNumberFormat="1" applyFont="1" applyProtection="1"/>
    <xf numFmtId="2" fontId="58" fillId="0" borderId="0" xfId="344" applyNumberFormat="1" applyFont="1" applyAlignment="1" applyProtection="1">
      <alignment horizontal="left" vertical="top" wrapText="1"/>
    </xf>
    <xf numFmtId="0" fontId="58" fillId="0" borderId="0" xfId="344" applyFont="1" applyAlignment="1" applyProtection="1">
      <alignment wrapText="1"/>
    </xf>
    <xf numFmtId="0" fontId="58" fillId="0" borderId="0" xfId="344" applyFont="1" applyFill="1" applyAlignment="1" applyProtection="1">
      <alignment horizontal="left" wrapText="1"/>
    </xf>
    <xf numFmtId="49" fontId="57" fillId="0" borderId="0" xfId="344" applyNumberFormat="1" applyFont="1" applyFill="1" applyAlignment="1" applyProtection="1">
      <alignment vertical="top" wrapText="1"/>
    </xf>
    <xf numFmtId="171" fontId="58" fillId="0" borderId="0" xfId="344" applyNumberFormat="1" applyFont="1" applyFill="1" applyAlignment="1" applyProtection="1">
      <alignment horizontal="left" vertical="top"/>
    </xf>
    <xf numFmtId="2" fontId="58" fillId="0" borderId="0" xfId="344" applyNumberFormat="1" applyFont="1" applyFill="1" applyProtection="1"/>
    <xf numFmtId="4" fontId="53" fillId="0" borderId="110" xfId="344" applyNumberFormat="1" applyFont="1" applyBorder="1" applyProtection="1"/>
    <xf numFmtId="0" fontId="52" fillId="0" borderId="0" xfId="344" applyFont="1" applyAlignment="1" applyProtection="1">
      <alignment horizontal="center" vertical="top"/>
    </xf>
    <xf numFmtId="0" fontId="53" fillId="0" borderId="0" xfId="344" applyFont="1" applyAlignment="1" applyProtection="1">
      <alignment horizontal="centerContinuous" vertical="top"/>
    </xf>
    <xf numFmtId="0" fontId="52" fillId="0" borderId="0" xfId="344" applyFont="1" applyAlignment="1" applyProtection="1">
      <alignment horizontal="centerContinuous" vertical="top"/>
    </xf>
    <xf numFmtId="4" fontId="53" fillId="0" borderId="6" xfId="344" applyNumberFormat="1" applyFont="1" applyFill="1" applyBorder="1" applyAlignment="1" applyProtection="1">
      <alignment horizontal="centerContinuous"/>
    </xf>
    <xf numFmtId="4" fontId="53" fillId="0" borderId="0" xfId="344" applyNumberFormat="1" applyFont="1" applyFill="1" applyAlignment="1" applyProtection="1"/>
    <xf numFmtId="4" fontId="52" fillId="0" borderId="6" xfId="344" applyNumberFormat="1" applyFont="1" applyFill="1" applyBorder="1" applyAlignment="1" applyProtection="1"/>
    <xf numFmtId="2" fontId="52" fillId="0" borderId="0" xfId="344" applyNumberFormat="1" applyFont="1" applyAlignment="1" applyProtection="1">
      <alignment horizontal="left" vertical="top"/>
    </xf>
    <xf numFmtId="0" fontId="52" fillId="0" borderId="0" xfId="344" applyFont="1" applyBorder="1" applyAlignment="1" applyProtection="1">
      <alignment wrapText="1"/>
    </xf>
    <xf numFmtId="0" fontId="4" fillId="0" borderId="0" xfId="344" applyFont="1" applyProtection="1"/>
    <xf numFmtId="0" fontId="4" fillId="0" borderId="0" xfId="344" applyFont="1" applyFill="1" applyProtection="1"/>
    <xf numFmtId="0" fontId="52" fillId="0" borderId="0" xfId="344" applyFont="1" applyAlignment="1" applyProtection="1">
      <alignment horizontal="left" vertical="top"/>
    </xf>
    <xf numFmtId="49" fontId="52" fillId="0" borderId="0" xfId="344" applyNumberFormat="1" applyFont="1" applyAlignment="1" applyProtection="1">
      <alignment horizontal="left" vertical="top" wrapText="1"/>
    </xf>
    <xf numFmtId="49" fontId="55" fillId="0" borderId="54" xfId="344" applyNumberFormat="1" applyFont="1" applyBorder="1" applyAlignment="1" applyProtection="1">
      <alignment vertical="top"/>
    </xf>
    <xf numFmtId="0" fontId="55" fillId="0" borderId="54" xfId="344" applyFont="1" applyBorder="1" applyAlignment="1" applyProtection="1">
      <alignment vertical="top" wrapText="1"/>
    </xf>
    <xf numFmtId="0" fontId="55" fillId="0" borderId="54" xfId="344" applyFont="1" applyBorder="1" applyAlignment="1" applyProtection="1">
      <alignment horizontal="left"/>
    </xf>
    <xf numFmtId="0" fontId="55" fillId="0" borderId="54" xfId="344" applyFont="1" applyFill="1" applyBorder="1" applyAlignment="1" applyProtection="1">
      <alignment horizontal="left"/>
    </xf>
    <xf numFmtId="4" fontId="55" fillId="0" borderId="77" xfId="344" applyNumberFormat="1" applyFont="1" applyFill="1" applyBorder="1" applyProtection="1"/>
    <xf numFmtId="4" fontId="55" fillId="0" borderId="54" xfId="344" applyNumberFormat="1" applyFont="1" applyFill="1" applyBorder="1" applyProtection="1"/>
    <xf numFmtId="0" fontId="53" fillId="0" borderId="34" xfId="344" applyFont="1" applyBorder="1" applyProtection="1"/>
    <xf numFmtId="173" fontId="53" fillId="0" borderId="0" xfId="344" applyNumberFormat="1" applyFont="1" applyAlignment="1" applyProtection="1">
      <alignment horizontal="left" vertical="top"/>
    </xf>
    <xf numFmtId="173" fontId="53" fillId="0" borderId="0" xfId="344" applyNumberFormat="1" applyFont="1" applyAlignment="1" applyProtection="1">
      <alignment horizontal="left"/>
    </xf>
    <xf numFmtId="49" fontId="52" fillId="0" borderId="0" xfId="344" applyNumberFormat="1" applyFont="1" applyBorder="1" applyAlignment="1" applyProtection="1">
      <alignment vertical="top"/>
    </xf>
    <xf numFmtId="0" fontId="52" fillId="0" borderId="0" xfId="344" applyFont="1" applyBorder="1" applyAlignment="1" applyProtection="1">
      <alignment horizontal="center" vertical="top"/>
    </xf>
    <xf numFmtId="0" fontId="52" fillId="0" borderId="26" xfId="344" applyFont="1" applyBorder="1" applyAlignment="1" applyProtection="1">
      <alignment horizontal="center" vertical="top"/>
    </xf>
    <xf numFmtId="0" fontId="52" fillId="0" borderId="26" xfId="344" applyFont="1" applyBorder="1" applyAlignment="1" applyProtection="1">
      <alignment vertical="top" wrapText="1"/>
    </xf>
    <xf numFmtId="0" fontId="52" fillId="0" borderId="26" xfId="344" applyFont="1" applyBorder="1" applyAlignment="1" applyProtection="1">
      <alignment horizontal="left"/>
    </xf>
    <xf numFmtId="0" fontId="52" fillId="0" borderId="26" xfId="344" applyFont="1" applyFill="1" applyBorder="1" applyAlignment="1" applyProtection="1">
      <alignment horizontal="left"/>
    </xf>
    <xf numFmtId="4" fontId="52" fillId="0" borderId="22" xfId="344" applyNumberFormat="1" applyFont="1" applyFill="1" applyBorder="1" applyProtection="1"/>
    <xf numFmtId="4" fontId="52" fillId="0" borderId="26" xfId="344" applyNumberFormat="1" applyFont="1" applyFill="1" applyBorder="1" applyProtection="1"/>
    <xf numFmtId="0" fontId="61" fillId="0" borderId="0" xfId="344" applyFont="1" applyProtection="1"/>
    <xf numFmtId="0" fontId="61" fillId="0" borderId="12" xfId="344" applyFont="1" applyBorder="1" applyProtection="1"/>
    <xf numFmtId="4" fontId="53" fillId="0" borderId="6" xfId="344" applyNumberFormat="1" applyFont="1" applyFill="1" applyBorder="1" applyAlignment="1" applyProtection="1">
      <alignment horizontal="center"/>
    </xf>
    <xf numFmtId="0" fontId="57" fillId="0" borderId="0" xfId="344" applyFont="1" applyAlignment="1" applyProtection="1">
      <alignment horizontal="center" vertical="top" wrapText="1"/>
    </xf>
    <xf numFmtId="0" fontId="53" fillId="0" borderId="0" xfId="344" applyFont="1" applyAlignment="1" applyProtection="1">
      <alignment horizontal="center" vertical="top"/>
    </xf>
    <xf numFmtId="0" fontId="53" fillId="0" borderId="119" xfId="344" applyFont="1" applyBorder="1" applyAlignment="1" applyProtection="1">
      <alignment horizontal="center" vertical="top"/>
    </xf>
    <xf numFmtId="0" fontId="53" fillId="0" borderId="110" xfId="344" applyFont="1" applyBorder="1" applyProtection="1"/>
    <xf numFmtId="0" fontId="58" fillId="0" borderId="0" xfId="344" applyNumberFormat="1" applyFont="1" applyFill="1" applyBorder="1" applyAlignment="1" applyProtection="1">
      <alignment horizontal="left" vertical="top" wrapText="1"/>
    </xf>
    <xf numFmtId="2" fontId="58" fillId="0" borderId="0" xfId="344" applyNumberFormat="1" applyFont="1" applyAlignment="1" applyProtection="1">
      <alignment vertical="top" wrapText="1"/>
    </xf>
    <xf numFmtId="174" fontId="58" fillId="0" borderId="0" xfId="344" applyNumberFormat="1" applyFont="1" applyFill="1" applyAlignment="1" applyProtection="1">
      <alignment horizontal="left" vertical="top" wrapText="1"/>
    </xf>
    <xf numFmtId="174" fontId="58" fillId="0" borderId="0" xfId="344" applyNumberFormat="1" applyFont="1" applyFill="1" applyAlignment="1" applyProtection="1">
      <alignment horizontal="left"/>
    </xf>
    <xf numFmtId="0" fontId="52" fillId="0" borderId="119" xfId="344" applyFont="1" applyBorder="1" applyAlignment="1" applyProtection="1">
      <alignment horizontal="center" vertical="top"/>
    </xf>
    <xf numFmtId="49" fontId="53" fillId="0" borderId="109" xfId="344" applyNumberFormat="1" applyFont="1" applyBorder="1" applyAlignment="1" applyProtection="1">
      <alignment vertical="top"/>
    </xf>
    <xf numFmtId="0" fontId="58" fillId="0" borderId="110" xfId="344" applyFont="1" applyBorder="1" applyProtection="1"/>
    <xf numFmtId="0" fontId="58" fillId="0" borderId="0" xfId="344" applyFont="1" applyAlignment="1" applyProtection="1">
      <alignment horizontal="center" vertical="top"/>
    </xf>
    <xf numFmtId="173" fontId="53" fillId="0" borderId="119" xfId="344" applyNumberFormat="1" applyFont="1" applyBorder="1" applyAlignment="1" applyProtection="1">
      <alignment horizontal="left" vertical="top"/>
    </xf>
    <xf numFmtId="0" fontId="52" fillId="0" borderId="110" xfId="344" applyFont="1" applyBorder="1" applyProtection="1"/>
    <xf numFmtId="173" fontId="53" fillId="0" borderId="0" xfId="344" applyNumberFormat="1" applyFont="1" applyBorder="1" applyAlignment="1" applyProtection="1">
      <alignment horizontal="left" vertical="top"/>
    </xf>
    <xf numFmtId="2" fontId="57" fillId="0" borderId="0" xfId="344" applyNumberFormat="1" applyFont="1" applyAlignment="1" applyProtection="1">
      <alignment horizontal="left" vertical="top"/>
    </xf>
    <xf numFmtId="4" fontId="104" fillId="0" borderId="0" xfId="0" applyNumberFormat="1" applyFont="1" applyAlignment="1" applyProtection="1">
      <alignment horizontal="right"/>
      <protection locked="0"/>
    </xf>
    <xf numFmtId="4" fontId="104" fillId="0" borderId="26" xfId="0" applyNumberFormat="1" applyFont="1" applyBorder="1" applyAlignment="1" applyProtection="1">
      <alignment horizontal="right"/>
      <protection locked="0"/>
    </xf>
    <xf numFmtId="0" fontId="99" fillId="0" borderId="0" xfId="0" applyFont="1" applyAlignment="1" applyProtection="1">
      <alignment horizontal="right" vertical="top"/>
    </xf>
    <xf numFmtId="0" fontId="100" fillId="0" borderId="0" xfId="0" applyFont="1" applyAlignment="1" applyProtection="1">
      <alignment horizontal="left" vertical="top" wrapText="1"/>
    </xf>
    <xf numFmtId="0" fontId="101" fillId="0" borderId="0" xfId="0" applyFont="1" applyAlignment="1" applyProtection="1">
      <alignment horizontal="left"/>
    </xf>
    <xf numFmtId="0" fontId="101" fillId="0" borderId="0" xfId="0" applyFont="1" applyAlignment="1" applyProtection="1">
      <alignment horizontal="right"/>
    </xf>
    <xf numFmtId="4" fontId="101" fillId="0" borderId="0" xfId="0" applyNumberFormat="1" applyFont="1" applyAlignment="1" applyProtection="1">
      <alignment horizontal="right"/>
    </xf>
    <xf numFmtId="4" fontId="102" fillId="0" borderId="0" xfId="0" applyNumberFormat="1" applyFont="1" applyAlignment="1" applyProtection="1">
      <alignment horizontal="right"/>
    </xf>
    <xf numFmtId="0" fontId="101" fillId="0" borderId="0" xfId="0" applyFont="1" applyProtection="1"/>
    <xf numFmtId="0" fontId="101" fillId="0" borderId="0" xfId="0" applyFont="1" applyAlignment="1" applyProtection="1">
      <alignment horizontal="right" vertical="top"/>
    </xf>
    <xf numFmtId="0" fontId="101" fillId="0" borderId="0" xfId="0" applyFont="1" applyAlignment="1" applyProtection="1">
      <alignment horizontal="left" vertical="top" wrapText="1"/>
    </xf>
    <xf numFmtId="0" fontId="103" fillId="0" borderId="0" xfId="0" applyFont="1" applyBorder="1" applyAlignment="1" applyProtection="1">
      <alignment horizontal="center" vertical="top"/>
    </xf>
    <xf numFmtId="0" fontId="103" fillId="0" borderId="0" xfId="0" applyFont="1" applyBorder="1" applyAlignment="1" applyProtection="1">
      <alignment horizontal="left" vertical="top" wrapText="1"/>
    </xf>
    <xf numFmtId="4" fontId="102" fillId="0" borderId="0" xfId="0" applyNumberFormat="1" applyFont="1" applyBorder="1" applyAlignment="1" applyProtection="1">
      <alignment horizontal="center" vertical="top"/>
    </xf>
    <xf numFmtId="4" fontId="103" fillId="0" borderId="0" xfId="166" applyNumberFormat="1" applyFont="1" applyBorder="1" applyAlignment="1" applyProtection="1">
      <alignment horizontal="center" vertical="top"/>
    </xf>
    <xf numFmtId="4" fontId="103" fillId="0" borderId="0" xfId="166" applyNumberFormat="1" applyFont="1" applyBorder="1" applyAlignment="1" applyProtection="1">
      <alignment horizontal="right" vertical="top" wrapText="1"/>
    </xf>
    <xf numFmtId="0" fontId="4" fillId="0" borderId="0" xfId="0" applyFont="1" applyBorder="1" applyAlignment="1" applyProtection="1">
      <alignment vertical="top"/>
    </xf>
    <xf numFmtId="0" fontId="104" fillId="0" borderId="0" xfId="0" applyFont="1" applyAlignment="1" applyProtection="1">
      <alignment horizontal="right" vertical="top"/>
    </xf>
    <xf numFmtId="0" fontId="104" fillId="0" borderId="0" xfId="0" applyFont="1" applyAlignment="1" applyProtection="1">
      <alignment horizontal="left" vertical="top" wrapText="1"/>
    </xf>
    <xf numFmtId="0" fontId="104" fillId="0" borderId="0" xfId="0" applyFont="1" applyAlignment="1" applyProtection="1">
      <alignment horizontal="left"/>
    </xf>
    <xf numFmtId="0" fontId="100" fillId="0" borderId="0" xfId="0" applyFont="1" applyAlignment="1" applyProtection="1">
      <alignment horizontal="right"/>
    </xf>
    <xf numFmtId="4" fontId="104" fillId="0" borderId="0" xfId="0" applyNumberFormat="1" applyFont="1" applyAlignment="1" applyProtection="1">
      <alignment horizontal="right"/>
    </xf>
    <xf numFmtId="4" fontId="105" fillId="0" borderId="0" xfId="0" applyNumberFormat="1" applyFont="1" applyAlignment="1" applyProtection="1">
      <alignment horizontal="right"/>
    </xf>
    <xf numFmtId="0" fontId="104" fillId="0" borderId="0" xfId="0" applyFont="1" applyProtection="1"/>
    <xf numFmtId="4" fontId="103" fillId="0" borderId="0" xfId="166" applyNumberFormat="1" applyFont="1" applyBorder="1" applyAlignment="1" applyProtection="1">
      <alignment horizontal="right" vertical="top"/>
    </xf>
    <xf numFmtId="0" fontId="4" fillId="0" borderId="0" xfId="0" applyFont="1" applyAlignment="1" applyProtection="1">
      <alignment horizontal="left" vertical="top" wrapText="1"/>
    </xf>
    <xf numFmtId="0" fontId="104" fillId="0" borderId="26" xfId="0" applyFont="1" applyBorder="1" applyAlignment="1" applyProtection="1">
      <alignment horizontal="right" vertical="top"/>
    </xf>
    <xf numFmtId="0" fontId="104" fillId="0" borderId="26" xfId="0" applyFont="1" applyBorder="1" applyAlignment="1" applyProtection="1">
      <alignment horizontal="left" vertical="top" wrapText="1"/>
    </xf>
    <xf numFmtId="0" fontId="104" fillId="0" borderId="26" xfId="0" applyFont="1" applyBorder="1" applyAlignment="1" applyProtection="1">
      <alignment horizontal="left"/>
    </xf>
    <xf numFmtId="0" fontId="100" fillId="0" borderId="26" xfId="0" applyFont="1" applyBorder="1" applyAlignment="1" applyProtection="1">
      <alignment horizontal="right"/>
    </xf>
    <xf numFmtId="4" fontId="105" fillId="0" borderId="26" xfId="0" applyNumberFormat="1" applyFont="1" applyBorder="1" applyAlignment="1" applyProtection="1">
      <alignment horizontal="right"/>
    </xf>
    <xf numFmtId="0" fontId="104" fillId="0" borderId="0" xfId="0" applyFont="1" applyBorder="1" applyAlignment="1" applyProtection="1">
      <alignment horizontal="right" vertical="top"/>
    </xf>
    <xf numFmtId="0" fontId="104" fillId="0" borderId="0" xfId="0" applyFont="1" applyBorder="1" applyAlignment="1" applyProtection="1">
      <alignment horizontal="left" vertical="top" wrapText="1"/>
    </xf>
    <xf numFmtId="0" fontId="104" fillId="0" borderId="0" xfId="0" applyFont="1" applyBorder="1" applyAlignment="1" applyProtection="1">
      <alignment horizontal="left"/>
    </xf>
    <xf numFmtId="0" fontId="100" fillId="0" borderId="0" xfId="0" applyFont="1" applyBorder="1" applyAlignment="1" applyProtection="1">
      <alignment horizontal="right"/>
    </xf>
    <xf numFmtId="4" fontId="104" fillId="0" borderId="0" xfId="0" applyNumberFormat="1" applyFont="1" applyBorder="1" applyAlignment="1" applyProtection="1">
      <alignment horizontal="right"/>
    </xf>
    <xf numFmtId="4" fontId="105" fillId="0" borderId="0" xfId="0" applyNumberFormat="1" applyFont="1" applyBorder="1" applyAlignment="1" applyProtection="1">
      <alignment horizontal="right"/>
    </xf>
    <xf numFmtId="0" fontId="85" fillId="0" borderId="0" xfId="0" applyFont="1" applyBorder="1" applyAlignment="1" applyProtection="1">
      <alignment horizontal="center" vertical="top"/>
    </xf>
    <xf numFmtId="0" fontId="62" fillId="0" borderId="0" xfId="0" applyFont="1" applyAlignment="1" applyProtection="1">
      <alignment vertical="top" wrapText="1"/>
    </xf>
    <xf numFmtId="0" fontId="85" fillId="0" borderId="0" xfId="0" applyFont="1" applyBorder="1" applyAlignment="1" applyProtection="1">
      <alignment horizontal="center"/>
    </xf>
    <xf numFmtId="4" fontId="102" fillId="0" borderId="0" xfId="0" applyNumberFormat="1" applyFont="1" applyBorder="1" applyAlignment="1" applyProtection="1">
      <alignment horizontal="center"/>
    </xf>
    <xf numFmtId="4" fontId="85" fillId="0" borderId="0" xfId="166" applyNumberFormat="1" applyFont="1" applyBorder="1" applyAlignment="1" applyProtection="1">
      <alignment horizontal="center"/>
    </xf>
    <xf numFmtId="4" fontId="85" fillId="0" borderId="0" xfId="166" applyNumberFormat="1" applyFont="1" applyBorder="1" applyAlignment="1" applyProtection="1">
      <alignment horizontal="right"/>
    </xf>
    <xf numFmtId="0" fontId="8" fillId="0" borderId="0" xfId="0" applyFont="1" applyBorder="1" applyProtection="1"/>
    <xf numFmtId="0" fontId="104" fillId="0" borderId="0" xfId="0" applyFont="1" applyAlignment="1" applyProtection="1">
      <alignment horizontal="right"/>
    </xf>
    <xf numFmtId="175" fontId="105" fillId="0" borderId="0" xfId="0" applyNumberFormat="1" applyFont="1" applyAlignment="1" applyProtection="1">
      <alignment horizontal="right"/>
    </xf>
    <xf numFmtId="4" fontId="4" fillId="0" borderId="0" xfId="166" applyNumberFormat="1" applyFont="1" applyBorder="1" applyAlignment="1" applyProtection="1">
      <alignment horizontal="center"/>
      <protection locked="0"/>
    </xf>
    <xf numFmtId="4" fontId="4" fillId="0" borderId="0" xfId="0" applyNumberFormat="1" applyFont="1" applyBorder="1" applyAlignment="1" applyProtection="1">
      <alignment horizontal="center"/>
      <protection locked="0"/>
    </xf>
    <xf numFmtId="4" fontId="4" fillId="0" borderId="0" xfId="0" applyNumberFormat="1" applyFont="1" applyProtection="1">
      <protection locked="0"/>
    </xf>
    <xf numFmtId="4" fontId="4" fillId="0" borderId="0" xfId="0" applyNumberFormat="1" applyFont="1" applyAlignment="1" applyProtection="1">
      <alignment horizontal="right"/>
      <protection locked="0"/>
    </xf>
    <xf numFmtId="4" fontId="4" fillId="0" borderId="0" xfId="166" applyNumberFormat="1" applyFont="1" applyFill="1" applyBorder="1" applyAlignment="1" applyProtection="1">
      <alignment horizontal="center"/>
      <protection locked="0"/>
    </xf>
    <xf numFmtId="4" fontId="4" fillId="0" borderId="0" xfId="0" applyNumberFormat="1" applyFont="1" applyFill="1" applyBorder="1" applyAlignment="1" applyProtection="1">
      <alignment horizontal="center"/>
      <protection locked="0"/>
    </xf>
    <xf numFmtId="0" fontId="4" fillId="25" borderId="0" xfId="0" applyFont="1" applyFill="1" applyBorder="1" applyAlignment="1" applyProtection="1">
      <alignment horizontal="center" vertical="top"/>
    </xf>
    <xf numFmtId="0" fontId="4" fillId="0" borderId="0" xfId="0" applyFont="1" applyBorder="1" applyAlignment="1" applyProtection="1">
      <alignment horizontal="left" wrapText="1"/>
    </xf>
    <xf numFmtId="0" fontId="4" fillId="0" borderId="0" xfId="0" applyFont="1" applyBorder="1" applyAlignment="1" applyProtection="1">
      <alignment horizontal="center"/>
    </xf>
    <xf numFmtId="4" fontId="4" fillId="0" borderId="0" xfId="166" applyNumberFormat="1" applyFont="1" applyBorder="1" applyAlignment="1" applyProtection="1">
      <alignment horizontal="center"/>
    </xf>
    <xf numFmtId="4" fontId="4" fillId="0" borderId="0" xfId="166" applyNumberFormat="1" applyFont="1" applyBorder="1" applyAlignment="1" applyProtection="1">
      <alignment horizontal="right"/>
    </xf>
    <xf numFmtId="0" fontId="4" fillId="0" borderId="0" xfId="0" applyFont="1" applyBorder="1" applyProtection="1"/>
    <xf numFmtId="0" fontId="107" fillId="0" borderId="0" xfId="0" applyFont="1" applyBorder="1" applyAlignment="1" applyProtection="1">
      <alignment horizontal="center" vertical="top"/>
    </xf>
    <xf numFmtId="0" fontId="85" fillId="0" borderId="0" xfId="0" applyFont="1" applyBorder="1" applyAlignment="1" applyProtection="1">
      <alignment horizontal="left" wrapText="1"/>
    </xf>
    <xf numFmtId="0" fontId="103" fillId="0" borderId="0" xfId="0" applyFont="1" applyBorder="1" applyAlignment="1" applyProtection="1">
      <alignment horizontal="left" wrapText="1"/>
    </xf>
    <xf numFmtId="0" fontId="103" fillId="0" borderId="0" xfId="0" applyFont="1" applyBorder="1" applyAlignment="1" applyProtection="1">
      <alignment horizontal="center"/>
    </xf>
    <xf numFmtId="4" fontId="103" fillId="0" borderId="0" xfId="166" applyNumberFormat="1" applyFont="1" applyBorder="1" applyAlignment="1" applyProtection="1">
      <alignment horizontal="center"/>
    </xf>
    <xf numFmtId="4" fontId="103" fillId="0" borderId="0" xfId="166" applyNumberFormat="1" applyFont="1" applyBorder="1" applyAlignment="1" applyProtection="1">
      <alignment horizontal="right"/>
    </xf>
    <xf numFmtId="0" fontId="4" fillId="0" borderId="0" xfId="0" applyFont="1" applyBorder="1" applyAlignment="1" applyProtection="1">
      <alignment horizontal="center" vertical="top"/>
    </xf>
    <xf numFmtId="4" fontId="4" fillId="0" borderId="0" xfId="377" applyNumberFormat="1" applyFont="1" applyBorder="1" applyAlignment="1" applyProtection="1">
      <alignment horizontal="right"/>
    </xf>
    <xf numFmtId="0" fontId="62" fillId="0" borderId="0" xfId="0" applyFont="1" applyBorder="1" applyAlignment="1" applyProtection="1">
      <alignment horizontal="left" wrapText="1"/>
    </xf>
    <xf numFmtId="4" fontId="62" fillId="0" borderId="0" xfId="166" applyNumberFormat="1" applyFont="1" applyBorder="1" applyAlignment="1" applyProtection="1">
      <alignment horizontal="right"/>
    </xf>
    <xf numFmtId="4" fontId="62" fillId="0" borderId="0" xfId="377" applyNumberFormat="1" applyFont="1" applyBorder="1" applyAlignment="1" applyProtection="1">
      <alignment horizontal="right"/>
    </xf>
    <xf numFmtId="4" fontId="103" fillId="0" borderId="0" xfId="377" applyNumberFormat="1" applyFont="1" applyBorder="1" applyAlignment="1" applyProtection="1">
      <alignment horizontal="right" vertical="top"/>
    </xf>
    <xf numFmtId="1" fontId="4" fillId="0" borderId="0" xfId="0" applyNumberFormat="1" applyFont="1" applyFill="1" applyBorder="1" applyAlignment="1" applyProtection="1">
      <alignment horizontal="center" vertical="top"/>
    </xf>
    <xf numFmtId="0" fontId="4" fillId="0" borderId="0" xfId="983" applyFont="1" applyAlignment="1" applyProtection="1">
      <alignment horizontal="left" vertical="top" wrapText="1"/>
    </xf>
    <xf numFmtId="4" fontId="4" fillId="0" borderId="0" xfId="0" applyNumberFormat="1" applyFont="1" applyBorder="1" applyAlignment="1" applyProtection="1">
      <alignment horizontal="left"/>
    </xf>
    <xf numFmtId="4" fontId="102" fillId="0" borderId="0" xfId="0" applyNumberFormat="1" applyFont="1" applyBorder="1" applyProtection="1"/>
    <xf numFmtId="0" fontId="4" fillId="0" borderId="0" xfId="983" applyFont="1" applyFill="1" applyBorder="1" applyAlignment="1" applyProtection="1">
      <alignment horizontal="left" vertical="top" wrapText="1"/>
    </xf>
    <xf numFmtId="4" fontId="4" fillId="0" borderId="0" xfId="0" applyNumberFormat="1" applyFont="1" applyBorder="1" applyProtection="1"/>
    <xf numFmtId="4" fontId="102" fillId="0" borderId="0" xfId="0" applyNumberFormat="1" applyFont="1" applyBorder="1" applyAlignment="1" applyProtection="1">
      <alignment horizontal="right"/>
    </xf>
    <xf numFmtId="4" fontId="108" fillId="0" borderId="0" xfId="0" applyNumberFormat="1" applyFont="1" applyBorder="1" applyAlignment="1" applyProtection="1">
      <alignment horizontal="center"/>
    </xf>
    <xf numFmtId="0" fontId="108" fillId="0" borderId="0" xfId="0" applyFont="1" applyBorder="1" applyAlignment="1" applyProtection="1">
      <alignment horizontal="center"/>
    </xf>
    <xf numFmtId="1" fontId="4" fillId="0" borderId="0" xfId="0" applyNumberFormat="1" applyFont="1" applyBorder="1" applyAlignment="1" applyProtection="1">
      <alignment horizontal="left" wrapText="1"/>
    </xf>
    <xf numFmtId="4" fontId="4" fillId="0" borderId="0" xfId="0" applyNumberFormat="1" applyFont="1" applyBorder="1" applyAlignment="1" applyProtection="1">
      <alignment horizontal="center"/>
    </xf>
    <xf numFmtId="1" fontId="4" fillId="0" borderId="0" xfId="0" applyNumberFormat="1" applyFont="1" applyAlignment="1" applyProtection="1">
      <alignment horizontal="center" vertical="top"/>
    </xf>
    <xf numFmtId="4" fontId="4" fillId="0" borderId="0" xfId="0" applyNumberFormat="1" applyFont="1" applyAlignment="1" applyProtection="1">
      <alignment horizontal="left"/>
    </xf>
    <xf numFmtId="4" fontId="102" fillId="0" borderId="0" xfId="0" applyNumberFormat="1" applyFont="1" applyProtection="1"/>
    <xf numFmtId="4" fontId="4" fillId="0" borderId="0" xfId="0" applyNumberFormat="1" applyFont="1" applyProtection="1"/>
    <xf numFmtId="4" fontId="62" fillId="0" borderId="0" xfId="0" applyNumberFormat="1" applyFont="1" applyProtection="1"/>
    <xf numFmtId="0" fontId="62" fillId="0" borderId="0" xfId="0" applyFont="1" applyProtection="1"/>
    <xf numFmtId="1" fontId="4" fillId="0" borderId="0" xfId="0" applyNumberFormat="1" applyFont="1" applyAlignment="1" applyProtection="1">
      <alignment horizontal="left" wrapText="1"/>
    </xf>
    <xf numFmtId="4" fontId="4" fillId="0" borderId="0" xfId="0" applyNumberFormat="1" applyFont="1" applyAlignment="1" applyProtection="1">
      <alignment horizontal="center"/>
    </xf>
    <xf numFmtId="0" fontId="108" fillId="0" borderId="0" xfId="0" applyFont="1" applyAlignment="1" applyProtection="1">
      <alignment horizontal="center"/>
    </xf>
    <xf numFmtId="4" fontId="4" fillId="0" borderId="0" xfId="0" applyNumberFormat="1" applyFont="1" applyAlignment="1" applyProtection="1">
      <alignment horizontal="right"/>
    </xf>
    <xf numFmtId="0" fontId="4" fillId="0" borderId="0" xfId="0" applyFont="1" applyAlignment="1" applyProtection="1">
      <alignment horizontal="center" vertical="top"/>
    </xf>
    <xf numFmtId="0" fontId="4" fillId="0" borderId="0" xfId="0" applyFont="1" applyAlignment="1" applyProtection="1">
      <alignment horizontal="left" wrapText="1"/>
    </xf>
    <xf numFmtId="0" fontId="4" fillId="0" borderId="0" xfId="0" applyFont="1" applyAlignment="1" applyProtection="1">
      <alignment horizontal="center"/>
    </xf>
    <xf numFmtId="4" fontId="102" fillId="0" borderId="0" xfId="0" applyNumberFormat="1" applyFont="1" applyAlignment="1" applyProtection="1">
      <alignment horizontal="center"/>
    </xf>
    <xf numFmtId="4" fontId="62" fillId="0" borderId="0" xfId="0" applyNumberFormat="1" applyFont="1" applyBorder="1" applyProtection="1"/>
    <xf numFmtId="0" fontId="62" fillId="0" borderId="0" xfId="0" applyFont="1" applyBorder="1" applyProtection="1"/>
    <xf numFmtId="0" fontId="4" fillId="0" borderId="0" xfId="0" applyFont="1" applyFill="1" applyBorder="1" applyAlignment="1" applyProtection="1">
      <alignment horizontal="left" wrapText="1"/>
    </xf>
    <xf numFmtId="0" fontId="4" fillId="0" borderId="0" xfId="0" applyFont="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xf>
    <xf numFmtId="4" fontId="102" fillId="0" borderId="0" xfId="0" applyNumberFormat="1" applyFont="1" applyFill="1" applyBorder="1" applyAlignment="1" applyProtection="1">
      <alignment horizontal="center"/>
    </xf>
    <xf numFmtId="4" fontId="4" fillId="0" borderId="0" xfId="166" applyNumberFormat="1" applyFont="1" applyFill="1" applyBorder="1" applyAlignment="1" applyProtection="1">
      <alignment horizontal="right"/>
    </xf>
    <xf numFmtId="0" fontId="4" fillId="33" borderId="0" xfId="0" applyFont="1" applyFill="1" applyBorder="1" applyAlignment="1" applyProtection="1">
      <alignment horizontal="center"/>
    </xf>
    <xf numFmtId="0" fontId="4" fillId="0" borderId="0" xfId="0" applyFont="1" applyBorder="1" applyAlignment="1" applyProtection="1">
      <alignment horizontal="left"/>
    </xf>
    <xf numFmtId="10" fontId="102" fillId="0" borderId="0" xfId="0" applyNumberFormat="1" applyFont="1" applyBorder="1" applyAlignment="1" applyProtection="1">
      <alignment horizontal="center"/>
    </xf>
    <xf numFmtId="1" fontId="4" fillId="0" borderId="0" xfId="0" applyNumberFormat="1" applyFont="1" applyBorder="1" applyAlignment="1" applyProtection="1">
      <alignment horizontal="left" vertical="top" wrapText="1"/>
    </xf>
    <xf numFmtId="4" fontId="103" fillId="0" borderId="0" xfId="377" applyNumberFormat="1" applyFont="1" applyBorder="1" applyAlignment="1" applyProtection="1">
      <alignment horizontal="right"/>
    </xf>
    <xf numFmtId="0" fontId="8" fillId="0" borderId="0" xfId="0" applyFont="1" applyBorder="1" applyAlignment="1" applyProtection="1">
      <alignment horizontal="center"/>
    </xf>
    <xf numFmtId="4" fontId="8" fillId="0" borderId="0" xfId="166" applyNumberFormat="1" applyFont="1" applyBorder="1" applyAlignment="1" applyProtection="1">
      <alignment horizontal="center"/>
    </xf>
    <xf numFmtId="4" fontId="8" fillId="0" borderId="0" xfId="166" applyNumberFormat="1" applyFont="1" applyBorder="1" applyAlignment="1" applyProtection="1">
      <alignment horizontal="right"/>
    </xf>
    <xf numFmtId="4" fontId="8" fillId="0" borderId="0" xfId="377" applyNumberFormat="1" applyFont="1" applyBorder="1" applyAlignment="1" applyProtection="1">
      <alignment horizontal="right"/>
    </xf>
    <xf numFmtId="0" fontId="62" fillId="0" borderId="0" xfId="0" applyFont="1" applyBorder="1" applyAlignment="1" applyProtection="1">
      <alignment horizontal="center" vertical="top"/>
    </xf>
    <xf numFmtId="0" fontId="4" fillId="0" borderId="0" xfId="983" applyFont="1" applyAlignment="1" applyProtection="1">
      <alignment vertical="top" wrapText="1"/>
    </xf>
    <xf numFmtId="0" fontId="4" fillId="0" borderId="13" xfId="0" applyFont="1" applyBorder="1" applyAlignment="1" applyProtection="1">
      <alignment horizontal="left" vertical="top" wrapText="1"/>
    </xf>
    <xf numFmtId="0" fontId="4" fillId="0" borderId="13" xfId="0" applyFont="1" applyBorder="1" applyAlignment="1" applyProtection="1">
      <alignment horizontal="center"/>
    </xf>
    <xf numFmtId="4" fontId="102" fillId="0" borderId="13" xfId="0" applyNumberFormat="1" applyFont="1" applyBorder="1" applyProtection="1"/>
    <xf numFmtId="4" fontId="4" fillId="0" borderId="13" xfId="166" applyNumberFormat="1" applyFont="1" applyBorder="1" applyAlignment="1" applyProtection="1">
      <alignment horizontal="center"/>
    </xf>
    <xf numFmtId="4" fontId="4" fillId="0" borderId="13" xfId="166" applyNumberFormat="1" applyFont="1" applyBorder="1" applyAlignment="1" applyProtection="1">
      <alignment horizontal="right"/>
    </xf>
    <xf numFmtId="4" fontId="4" fillId="0" borderId="13" xfId="377" applyNumberFormat="1" applyFont="1" applyBorder="1" applyAlignment="1" applyProtection="1">
      <alignment horizontal="right"/>
    </xf>
    <xf numFmtId="0" fontId="81" fillId="0" borderId="0" xfId="0" applyFont="1" applyAlignment="1" applyProtection="1">
      <alignment vertical="top" wrapText="1"/>
    </xf>
    <xf numFmtId="0" fontId="102" fillId="0" borderId="0" xfId="0" applyFont="1" applyBorder="1" applyAlignment="1" applyProtection="1">
      <alignment horizontal="left" wrapText="1"/>
    </xf>
    <xf numFmtId="0" fontId="4" fillId="0" borderId="0" xfId="0" applyFont="1" applyAlignment="1" applyProtection="1">
      <alignment vertical="top" wrapText="1"/>
    </xf>
    <xf numFmtId="0" fontId="4" fillId="0" borderId="0" xfId="0" quotePrefix="1" applyFont="1" applyBorder="1" applyAlignment="1" applyProtection="1">
      <alignment horizontal="left" wrapText="1"/>
    </xf>
    <xf numFmtId="0" fontId="109" fillId="0" borderId="0" xfId="0" applyFont="1" applyBorder="1" applyAlignment="1" applyProtection="1">
      <alignment horizontal="left" wrapText="1"/>
    </xf>
    <xf numFmtId="0" fontId="62" fillId="0" borderId="0" xfId="0" applyFont="1" applyBorder="1" applyAlignment="1" applyProtection="1">
      <alignment horizontal="center"/>
    </xf>
    <xf numFmtId="4" fontId="62" fillId="0" borderId="0" xfId="166" applyNumberFormat="1" applyFont="1" applyBorder="1" applyAlignment="1" applyProtection="1">
      <alignment horizontal="center"/>
    </xf>
    <xf numFmtId="0" fontId="62" fillId="0" borderId="26" xfId="0" applyFont="1" applyBorder="1" applyAlignment="1" applyProtection="1">
      <alignment horizontal="center" vertical="top"/>
    </xf>
    <xf numFmtId="0" fontId="62" fillId="0" borderId="26" xfId="0" applyFont="1" applyBorder="1" applyAlignment="1" applyProtection="1">
      <alignment horizontal="left" wrapText="1"/>
    </xf>
    <xf numFmtId="0" fontId="62" fillId="0" borderId="26" xfId="0" applyFont="1" applyBorder="1" applyAlignment="1" applyProtection="1">
      <alignment horizontal="center"/>
    </xf>
    <xf numFmtId="4" fontId="102" fillId="0" borderId="26" xfId="0" applyNumberFormat="1" applyFont="1" applyBorder="1" applyAlignment="1" applyProtection="1">
      <alignment horizontal="center"/>
    </xf>
    <xf numFmtId="4" fontId="62" fillId="0" borderId="26" xfId="166" applyNumberFormat="1" applyFont="1" applyBorder="1" applyAlignment="1" applyProtection="1">
      <alignment horizontal="center"/>
    </xf>
    <xf numFmtId="4" fontId="62" fillId="0" borderId="26" xfId="166" applyNumberFormat="1" applyFont="1" applyBorder="1" applyAlignment="1" applyProtection="1">
      <alignment horizontal="right"/>
    </xf>
    <xf numFmtId="4" fontId="62" fillId="0" borderId="26" xfId="377" applyNumberFormat="1" applyFont="1" applyBorder="1" applyAlignment="1" applyProtection="1">
      <alignment horizontal="right"/>
    </xf>
    <xf numFmtId="4" fontId="85" fillId="0" borderId="0" xfId="377" applyNumberFormat="1" applyFont="1" applyBorder="1" applyAlignment="1" applyProtection="1">
      <alignment horizontal="right"/>
    </xf>
    <xf numFmtId="0" fontId="62" fillId="0" borderId="0" xfId="0" quotePrefix="1" applyFont="1" applyBorder="1" applyAlignment="1" applyProtection="1">
      <alignment horizontal="left" wrapText="1"/>
    </xf>
    <xf numFmtId="0" fontId="85" fillId="0" borderId="0" xfId="0" applyFont="1" applyBorder="1" applyProtection="1"/>
    <xf numFmtId="2" fontId="4" fillId="0" borderId="0" xfId="0" applyNumberFormat="1" applyFont="1" applyProtection="1">
      <protection locked="0"/>
    </xf>
    <xf numFmtId="4" fontId="4" fillId="0" borderId="0" xfId="0" applyNumberFormat="1" applyFont="1" applyAlignment="1" applyProtection="1">
      <alignment horizontal="right" wrapText="1"/>
      <protection locked="0"/>
    </xf>
    <xf numFmtId="4" fontId="4" fillId="0" borderId="0" xfId="0" applyNumberFormat="1" applyFont="1" applyAlignment="1" applyProtection="1">
      <alignment wrapText="1"/>
      <protection locked="0"/>
    </xf>
    <xf numFmtId="0" fontId="67" fillId="0" borderId="0" xfId="0" applyFont="1" applyBorder="1" applyAlignment="1" applyProtection="1">
      <alignment horizontal="center" vertical="top"/>
    </xf>
    <xf numFmtId="0" fontId="67" fillId="0" borderId="0" xfId="0" applyFont="1" applyBorder="1" applyAlignment="1" applyProtection="1">
      <alignment horizontal="left" wrapText="1"/>
    </xf>
    <xf numFmtId="0" fontId="63" fillId="0" borderId="0" xfId="0" applyFont="1" applyBorder="1" applyAlignment="1" applyProtection="1">
      <alignment wrapText="1"/>
    </xf>
    <xf numFmtId="4" fontId="63" fillId="0" borderId="0" xfId="0" applyNumberFormat="1" applyFont="1" applyBorder="1" applyAlignment="1" applyProtection="1">
      <alignment horizontal="center"/>
    </xf>
    <xf numFmtId="0" fontId="63" fillId="0" borderId="0" xfId="0" applyFont="1" applyBorder="1" applyAlignment="1" applyProtection="1">
      <alignment horizontal="center"/>
    </xf>
    <xf numFmtId="173" fontId="64" fillId="0" borderId="0" xfId="0" applyNumberFormat="1" applyFont="1" applyBorder="1" applyAlignment="1" applyProtection="1">
      <alignment horizontal="center"/>
    </xf>
    <xf numFmtId="0" fontId="64" fillId="0" borderId="0" xfId="0" applyFont="1" applyFill="1" applyBorder="1" applyProtection="1"/>
    <xf numFmtId="2" fontId="64" fillId="0" borderId="0" xfId="166" applyNumberFormat="1" applyFont="1" applyBorder="1" applyAlignment="1" applyProtection="1">
      <alignment horizontal="center"/>
    </xf>
    <xf numFmtId="0" fontId="64" fillId="0" borderId="0" xfId="0" applyFont="1" applyBorder="1" applyProtection="1"/>
    <xf numFmtId="4" fontId="64" fillId="0" borderId="0" xfId="166" applyNumberFormat="1" applyFont="1" applyBorder="1" applyAlignment="1" applyProtection="1">
      <alignment horizontal="right"/>
    </xf>
    <xf numFmtId="0" fontId="62" fillId="0" borderId="0" xfId="0" applyFont="1" applyAlignment="1" applyProtection="1">
      <alignment vertical="top"/>
    </xf>
    <xf numFmtId="0" fontId="62" fillId="0" borderId="0" xfId="0" applyFont="1" applyAlignment="1" applyProtection="1">
      <alignment horizontal="center"/>
    </xf>
    <xf numFmtId="4" fontId="62" fillId="0" borderId="0" xfId="0" applyNumberFormat="1" applyFont="1" applyAlignment="1" applyProtection="1">
      <alignment horizontal="right"/>
    </xf>
    <xf numFmtId="0" fontId="68" fillId="0" borderId="0" xfId="0" applyFont="1" applyAlignment="1" applyProtection="1">
      <alignment vertical="top" wrapText="1"/>
    </xf>
    <xf numFmtId="0" fontId="65" fillId="0" borderId="0" xfId="0" applyFont="1" applyBorder="1" applyAlignment="1" applyProtection="1">
      <alignment horizontal="center" vertical="top"/>
    </xf>
    <xf numFmtId="0" fontId="65" fillId="0" borderId="0" xfId="0" applyFont="1" applyBorder="1" applyAlignment="1" applyProtection="1">
      <alignment horizontal="center" vertical="top" wrapText="1"/>
    </xf>
    <xf numFmtId="4" fontId="63" fillId="0" borderId="0" xfId="0" applyNumberFormat="1" applyFont="1" applyBorder="1" applyAlignment="1" applyProtection="1">
      <alignment horizontal="center" vertical="top"/>
    </xf>
    <xf numFmtId="173" fontId="65" fillId="0" borderId="0" xfId="0" applyNumberFormat="1" applyFont="1" applyBorder="1" applyAlignment="1" applyProtection="1">
      <alignment horizontal="center" vertical="top" wrapText="1"/>
    </xf>
    <xf numFmtId="0" fontId="65" fillId="0" borderId="0" xfId="0" applyFont="1" applyFill="1" applyBorder="1" applyAlignment="1" applyProtection="1">
      <alignment horizontal="center" vertical="top"/>
    </xf>
    <xf numFmtId="2" fontId="65" fillId="0" borderId="0" xfId="166" applyNumberFormat="1" applyFont="1" applyBorder="1" applyAlignment="1" applyProtection="1">
      <alignment horizontal="center" vertical="top"/>
    </xf>
    <xf numFmtId="4" fontId="65" fillId="0" borderId="0" xfId="166" applyNumberFormat="1" applyFont="1" applyBorder="1" applyAlignment="1" applyProtection="1">
      <alignment horizontal="center" vertical="top"/>
    </xf>
    <xf numFmtId="0" fontId="64" fillId="0" borderId="0" xfId="0" applyFont="1" applyBorder="1" applyAlignment="1" applyProtection="1">
      <alignment horizontal="center" vertical="top"/>
    </xf>
    <xf numFmtId="173" fontId="65" fillId="0" borderId="0" xfId="0" applyNumberFormat="1" applyFont="1" applyBorder="1" applyAlignment="1" applyProtection="1">
      <alignment horizontal="center" vertical="top"/>
    </xf>
    <xf numFmtId="0" fontId="4" fillId="0" borderId="0" xfId="0" applyFont="1" applyAlignment="1" applyProtection="1">
      <alignment horizontal="right" vertical="top"/>
    </xf>
    <xf numFmtId="1" fontId="4" fillId="0" borderId="0" xfId="0" applyNumberFormat="1" applyFont="1" applyAlignment="1" applyProtection="1">
      <alignment wrapText="1"/>
    </xf>
    <xf numFmtId="0" fontId="4" fillId="0" borderId="0" xfId="0" applyFont="1" applyAlignment="1" applyProtection="1">
      <alignment horizontal="center" wrapText="1"/>
    </xf>
    <xf numFmtId="1" fontId="4" fillId="0" borderId="0" xfId="0" applyNumberFormat="1" applyFont="1" applyAlignment="1" applyProtection="1">
      <alignment vertical="top" wrapText="1"/>
    </xf>
    <xf numFmtId="2" fontId="4" fillId="0" borderId="0" xfId="0" applyNumberFormat="1" applyFont="1" applyProtection="1"/>
    <xf numFmtId="49" fontId="4" fillId="0" borderId="0" xfId="0" applyNumberFormat="1" applyFont="1" applyAlignment="1" applyProtection="1">
      <alignment horizontal="center" wrapText="1"/>
    </xf>
    <xf numFmtId="4" fontId="4" fillId="0" borderId="0" xfId="0" applyNumberFormat="1" applyFont="1" applyAlignment="1" applyProtection="1">
      <alignment horizontal="right" wrapText="1"/>
    </xf>
    <xf numFmtId="0" fontId="4" fillId="0" borderId="0" xfId="0" applyFont="1" applyFill="1" applyAlignment="1" applyProtection="1">
      <alignment horizontal="left" vertical="top" wrapText="1"/>
    </xf>
    <xf numFmtId="49" fontId="4" fillId="0" borderId="0" xfId="0" applyNumberFormat="1" applyFont="1" applyAlignment="1" applyProtection="1">
      <alignment vertical="top" wrapText="1"/>
    </xf>
    <xf numFmtId="4" fontId="4" fillId="0" borderId="0" xfId="0" applyNumberFormat="1" applyFont="1" applyAlignment="1" applyProtection="1">
      <alignment wrapText="1"/>
    </xf>
    <xf numFmtId="10" fontId="63" fillId="0" borderId="0" xfId="0" applyNumberFormat="1" applyFont="1" applyBorder="1" applyAlignment="1" applyProtection="1">
      <alignment horizontal="center"/>
    </xf>
    <xf numFmtId="0" fontId="4" fillId="0" borderId="0" xfId="0" applyFont="1" applyAlignment="1" applyProtection="1">
      <alignment vertical="top"/>
    </xf>
    <xf numFmtId="0" fontId="62" fillId="0" borderId="26" xfId="0" applyFont="1" applyBorder="1" applyAlignment="1" applyProtection="1">
      <alignment vertical="top"/>
    </xf>
    <xf numFmtId="0" fontId="62" fillId="0" borderId="26" xfId="0" applyFont="1" applyBorder="1" applyAlignment="1" applyProtection="1">
      <alignment vertical="top" wrapText="1"/>
    </xf>
    <xf numFmtId="4" fontId="63" fillId="0" borderId="26" xfId="0" applyNumberFormat="1" applyFont="1" applyBorder="1" applyAlignment="1" applyProtection="1">
      <alignment horizontal="center"/>
    </xf>
    <xf numFmtId="4" fontId="62" fillId="0" borderId="26" xfId="0" applyNumberFormat="1" applyFont="1" applyBorder="1" applyAlignment="1" applyProtection="1">
      <alignment horizontal="right"/>
    </xf>
    <xf numFmtId="4" fontId="63" fillId="0" borderId="0" xfId="0" applyNumberFormat="1" applyFont="1" applyAlignment="1" applyProtection="1">
      <alignment horizontal="center"/>
    </xf>
    <xf numFmtId="4" fontId="4" fillId="0" borderId="26" xfId="0" applyNumberFormat="1" applyFont="1" applyBorder="1" applyProtection="1">
      <protection locked="0"/>
    </xf>
    <xf numFmtId="172" fontId="41" fillId="0" borderId="40" xfId="0" applyNumberFormat="1" applyFont="1" applyBorder="1" applyAlignment="1" applyProtection="1">
      <alignment horizontal="right" vertical="top" shrinkToFit="1"/>
    </xf>
    <xf numFmtId="0" fontId="40" fillId="0" borderId="0" xfId="351" applyNumberFormat="1" applyFont="1" applyFill="1" applyBorder="1" applyAlignment="1" applyProtection="1">
      <alignment horizontal="center" vertical="center" wrapText="1"/>
    </xf>
    <xf numFmtId="172" fontId="41" fillId="0" borderId="124" xfId="0" applyNumberFormat="1" applyFont="1" applyBorder="1" applyAlignment="1" applyProtection="1">
      <alignment vertical="top"/>
    </xf>
    <xf numFmtId="172" fontId="42" fillId="0" borderId="125" xfId="183" applyNumberFormat="1" applyFont="1" applyFill="1" applyBorder="1" applyAlignment="1" applyProtection="1">
      <alignment horizontal="right" vertical="top" wrapText="1"/>
    </xf>
    <xf numFmtId="0" fontId="112" fillId="27" borderId="21" xfId="0" applyNumberFormat="1" applyFont="1" applyFill="1" applyBorder="1" applyAlignment="1" applyProtection="1">
      <alignment vertical="top" wrapText="1"/>
    </xf>
    <xf numFmtId="0" fontId="0" fillId="0" borderId="10" xfId="0" applyBorder="1" applyProtection="1"/>
    <xf numFmtId="0" fontId="0" fillId="0" borderId="0" xfId="0" applyBorder="1" applyProtection="1"/>
    <xf numFmtId="172" fontId="115" fillId="24" borderId="10" xfId="372" applyNumberFormat="1" applyFont="1" applyFill="1" applyBorder="1" applyAlignment="1" applyProtection="1">
      <alignment horizontal="center" vertical="top" wrapText="1"/>
    </xf>
    <xf numFmtId="0" fontId="7" fillId="0" borderId="10" xfId="988" applyFont="1" applyFill="1" applyBorder="1" applyProtection="1"/>
    <xf numFmtId="0" fontId="81" fillId="0" borderId="0" xfId="996" applyFont="1" applyFill="1" applyBorder="1" applyProtection="1"/>
    <xf numFmtId="174" fontId="7" fillId="0" borderId="10" xfId="0" applyNumberFormat="1" applyFont="1" applyFill="1" applyBorder="1" applyAlignment="1" applyProtection="1">
      <alignment horizontal="right"/>
    </xf>
    <xf numFmtId="173" fontId="7" fillId="0" borderId="0" xfId="0" applyNumberFormat="1" applyFont="1" applyFill="1" applyAlignment="1" applyProtection="1">
      <alignment horizontal="center"/>
    </xf>
    <xf numFmtId="174" fontId="79" fillId="0" borderId="137" xfId="0" applyNumberFormat="1" applyFont="1" applyFill="1" applyBorder="1" applyAlignment="1" applyProtection="1">
      <alignment horizontal="right"/>
    </xf>
    <xf numFmtId="0" fontId="84" fillId="0" borderId="0" xfId="988" applyFont="1" applyFill="1" applyBorder="1" applyAlignment="1" applyProtection="1">
      <alignment horizontal="left" vertical="top" wrapText="1"/>
    </xf>
    <xf numFmtId="3" fontId="7" fillId="0" borderId="0" xfId="988" applyNumberFormat="1" applyFont="1" applyFill="1" applyBorder="1" applyAlignment="1" applyProtection="1">
      <alignment horizontal="right"/>
    </xf>
    <xf numFmtId="0" fontId="4" fillId="0" borderId="0" xfId="987" applyFont="1" applyFill="1" applyProtection="1"/>
    <xf numFmtId="4" fontId="7" fillId="0" borderId="0" xfId="0" applyNumberFormat="1" applyFont="1" applyFill="1" applyBorder="1" applyProtection="1"/>
    <xf numFmtId="174" fontId="7" fillId="0" borderId="0" xfId="0" applyNumberFormat="1" applyFont="1" applyFill="1" applyAlignment="1" applyProtection="1"/>
    <xf numFmtId="4" fontId="7" fillId="0" borderId="0" xfId="988" applyNumberFormat="1" applyFont="1" applyFill="1" applyBorder="1" applyAlignment="1" applyProtection="1">
      <alignment horizontal="right"/>
    </xf>
    <xf numFmtId="0" fontId="84" fillId="0" borderId="0" xfId="988" applyFont="1" applyFill="1" applyBorder="1" applyAlignment="1" applyProtection="1">
      <alignment horizontal="left" vertical="top"/>
    </xf>
    <xf numFmtId="0" fontId="79" fillId="0" borderId="0" xfId="988" applyFont="1" applyFill="1" applyBorder="1" applyAlignment="1" applyProtection="1">
      <alignment horizontal="left" vertical="top"/>
    </xf>
    <xf numFmtId="4" fontId="7" fillId="0" borderId="0" xfId="988" applyNumberFormat="1" applyFont="1" applyFill="1" applyBorder="1" applyAlignment="1" applyProtection="1"/>
    <xf numFmtId="174" fontId="79" fillId="0" borderId="75" xfId="0" applyNumberFormat="1" applyFont="1" applyFill="1" applyBorder="1" applyAlignment="1" applyProtection="1"/>
    <xf numFmtId="174" fontId="79" fillId="0" borderId="137" xfId="0" applyNumberFormat="1" applyFont="1" applyFill="1" applyBorder="1" applyAlignment="1" applyProtection="1"/>
    <xf numFmtId="174" fontId="81" fillId="0" borderId="10" xfId="996" applyNumberFormat="1" applyFont="1" applyFill="1" applyBorder="1" applyProtection="1"/>
    <xf numFmtId="49" fontId="48" fillId="0" borderId="138" xfId="0" applyNumberFormat="1" applyFont="1" applyBorder="1" applyAlignment="1" applyProtection="1">
      <alignment horizontal="left" vertical="top" wrapText="1"/>
    </xf>
    <xf numFmtId="0" fontId="48" fillId="0" borderId="139" xfId="0" applyNumberFormat="1" applyFont="1" applyBorder="1" applyAlignment="1" applyProtection="1">
      <alignment vertical="top" wrapText="1"/>
    </xf>
    <xf numFmtId="49" fontId="41" fillId="0" borderId="47" xfId="0" applyNumberFormat="1" applyFont="1" applyBorder="1" applyAlignment="1" applyProtection="1">
      <alignment horizontal="left" vertical="top" wrapText="1"/>
    </xf>
    <xf numFmtId="0" fontId="41" fillId="0" borderId="23" xfId="0" applyNumberFormat="1" applyFont="1" applyBorder="1" applyAlignment="1" applyProtection="1">
      <alignment vertical="top" wrapText="1"/>
    </xf>
    <xf numFmtId="0" fontId="51" fillId="31" borderId="17" xfId="0" applyNumberFormat="1" applyFont="1" applyFill="1" applyBorder="1" applyAlignment="1" applyProtection="1">
      <alignment vertical="top" wrapText="1"/>
    </xf>
    <xf numFmtId="49" fontId="51" fillId="31" borderId="40" xfId="0" applyNumberFormat="1" applyFont="1" applyFill="1" applyBorder="1" applyAlignment="1" applyProtection="1">
      <alignment horizontal="left" vertical="top" wrapText="1"/>
    </xf>
    <xf numFmtId="49" fontId="120" fillId="24" borderId="27" xfId="351" applyNumberFormat="1" applyFont="1" applyFill="1" applyBorder="1" applyAlignment="1" applyProtection="1">
      <alignment horizontal="center" vertical="center" wrapText="1"/>
    </xf>
    <xf numFmtId="49" fontId="120" fillId="24" borderId="35" xfId="351" applyNumberFormat="1" applyFont="1" applyFill="1" applyBorder="1" applyAlignment="1" applyProtection="1">
      <alignment horizontal="center" vertical="center" wrapText="1"/>
    </xf>
    <xf numFmtId="4" fontId="120" fillId="24" borderId="27" xfId="338" applyNumberFormat="1" applyFont="1" applyFill="1" applyBorder="1" applyAlignment="1" applyProtection="1">
      <alignment horizontal="center" vertical="center" wrapText="1"/>
    </xf>
    <xf numFmtId="4" fontId="120" fillId="24" borderId="35" xfId="338" applyNumberFormat="1" applyFont="1" applyFill="1" applyBorder="1" applyAlignment="1" applyProtection="1">
      <alignment horizontal="center" vertical="center" wrapText="1"/>
    </xf>
    <xf numFmtId="0" fontId="93" fillId="0" borderId="31" xfId="351" applyFont="1" applyFill="1" applyBorder="1" applyAlignment="1" applyProtection="1">
      <alignment horizontal="center" vertical="center"/>
    </xf>
    <xf numFmtId="0" fontId="93" fillId="0" borderId="20" xfId="351" applyFont="1" applyFill="1" applyBorder="1" applyAlignment="1" applyProtection="1">
      <alignment horizontal="center" vertical="center"/>
    </xf>
    <xf numFmtId="0" fontId="93" fillId="0" borderId="50" xfId="351" applyFont="1" applyFill="1" applyBorder="1" applyAlignment="1" applyProtection="1">
      <alignment horizontal="center" vertical="center"/>
    </xf>
    <xf numFmtId="0" fontId="121" fillId="0" borderId="31" xfId="340" applyFont="1" applyBorder="1" applyAlignment="1" applyProtection="1">
      <alignment horizontal="center" vertical="center" wrapText="1"/>
    </xf>
    <xf numFmtId="0" fontId="121" fillId="0" borderId="20" xfId="340" applyFont="1" applyBorder="1" applyAlignment="1" applyProtection="1">
      <alignment horizontal="center" vertical="center" wrapText="1"/>
    </xf>
    <xf numFmtId="0" fontId="121" fillId="0" borderId="50" xfId="340" applyFont="1" applyBorder="1" applyAlignment="1" applyProtection="1">
      <alignment horizontal="center" vertical="center" wrapText="1"/>
    </xf>
    <xf numFmtId="0" fontId="93" fillId="0" borderId="31" xfId="351" applyFont="1" applyFill="1" applyBorder="1" applyAlignment="1" applyProtection="1">
      <alignment horizontal="center" vertical="center" wrapText="1"/>
    </xf>
    <xf numFmtId="0" fontId="93" fillId="0" borderId="20" xfId="351" applyFont="1" applyFill="1" applyBorder="1" applyAlignment="1" applyProtection="1">
      <alignment horizontal="center" vertical="center" wrapText="1"/>
    </xf>
    <xf numFmtId="0" fontId="93" fillId="0" borderId="50" xfId="351" applyFont="1" applyFill="1" applyBorder="1" applyAlignment="1" applyProtection="1">
      <alignment horizontal="center" vertical="center" wrapText="1"/>
    </xf>
    <xf numFmtId="4" fontId="120" fillId="24" borderId="36" xfId="338" applyNumberFormat="1" applyFont="1" applyFill="1" applyBorder="1" applyAlignment="1" applyProtection="1">
      <alignment horizontal="center" vertical="center"/>
    </xf>
    <xf numFmtId="4" fontId="120" fillId="24" borderId="37" xfId="338" applyNumberFormat="1" applyFont="1" applyFill="1" applyBorder="1" applyAlignment="1" applyProtection="1">
      <alignment horizontal="center" vertical="center"/>
    </xf>
    <xf numFmtId="4" fontId="120" fillId="24" borderId="38" xfId="338" applyNumberFormat="1" applyFont="1" applyFill="1" applyBorder="1" applyAlignment="1" applyProtection="1">
      <alignment horizontal="center" vertical="center"/>
    </xf>
    <xf numFmtId="4" fontId="120" fillId="24" borderId="39" xfId="338" applyNumberFormat="1" applyFont="1" applyFill="1" applyBorder="1" applyAlignment="1" applyProtection="1">
      <alignment horizontal="center" vertical="center"/>
    </xf>
    <xf numFmtId="0" fontId="93" fillId="0" borderId="70" xfId="0" applyNumberFormat="1" applyFont="1" applyBorder="1" applyAlignment="1">
      <alignment horizontal="center" vertical="top" wrapText="1"/>
    </xf>
    <xf numFmtId="49" fontId="93" fillId="26" borderId="57" xfId="0" applyNumberFormat="1" applyFont="1" applyFill="1" applyBorder="1" applyAlignment="1">
      <alignment horizontal="left" wrapText="1"/>
    </xf>
    <xf numFmtId="49" fontId="93" fillId="26" borderId="56" xfId="0" applyNumberFormat="1" applyFont="1" applyFill="1" applyBorder="1" applyAlignment="1">
      <alignment horizontal="left" wrapText="1"/>
    </xf>
    <xf numFmtId="0" fontId="94" fillId="0" borderId="70" xfId="279" applyFont="1" applyFill="1" applyBorder="1" applyAlignment="1" applyProtection="1">
      <alignment horizontal="center" vertical="center" wrapText="1"/>
    </xf>
    <xf numFmtId="0" fontId="93" fillId="0" borderId="56" xfId="351" applyFont="1" applyFill="1" applyBorder="1" applyAlignment="1" applyProtection="1">
      <alignment horizontal="center" vertical="center" wrapText="1"/>
    </xf>
    <xf numFmtId="0" fontId="93" fillId="29" borderId="92" xfId="351" applyFont="1" applyFill="1" applyBorder="1" applyAlignment="1" applyProtection="1">
      <alignment horizontal="center" vertical="center" wrapText="1"/>
    </xf>
    <xf numFmtId="0" fontId="93" fillId="29" borderId="65" xfId="351" applyFont="1" applyFill="1" applyBorder="1" applyAlignment="1" applyProtection="1">
      <alignment horizontal="center" vertical="center" wrapText="1"/>
    </xf>
    <xf numFmtId="0" fontId="93" fillId="29" borderId="66" xfId="351" applyFont="1" applyFill="1" applyBorder="1" applyAlignment="1" applyProtection="1">
      <alignment horizontal="center" vertical="center" wrapText="1"/>
    </xf>
    <xf numFmtId="0" fontId="93" fillId="0" borderId="56" xfId="351" applyFont="1" applyFill="1" applyBorder="1" applyAlignment="1" applyProtection="1">
      <alignment horizontal="center" vertical="center"/>
    </xf>
    <xf numFmtId="0" fontId="94" fillId="27" borderId="31" xfId="351" applyFont="1" applyFill="1" applyBorder="1" applyAlignment="1" applyProtection="1">
      <alignment horizontal="center" vertical="center" wrapText="1"/>
    </xf>
    <xf numFmtId="0" fontId="94" fillId="27" borderId="20" xfId="351" applyFont="1" applyFill="1" applyBorder="1" applyAlignment="1" applyProtection="1">
      <alignment horizontal="center" vertical="center" wrapText="1"/>
    </xf>
    <xf numFmtId="0" fontId="94" fillId="27" borderId="56" xfId="351" applyFont="1" applyFill="1" applyBorder="1" applyAlignment="1" applyProtection="1">
      <alignment horizontal="center" vertical="center" wrapText="1"/>
    </xf>
    <xf numFmtId="49" fontId="93" fillId="0" borderId="70" xfId="0" applyNumberFormat="1" applyFont="1" applyBorder="1" applyAlignment="1">
      <alignment horizontal="center" vertical="center" wrapText="1"/>
    </xf>
    <xf numFmtId="0" fontId="93" fillId="0" borderId="70" xfId="0" applyNumberFormat="1" applyFont="1" applyBorder="1" applyAlignment="1">
      <alignment horizontal="center" vertical="center" wrapText="1"/>
    </xf>
    <xf numFmtId="0" fontId="93" fillId="0" borderId="70" xfId="0" applyNumberFormat="1" applyFont="1" applyBorder="1" applyAlignment="1">
      <alignment horizontal="center" vertical="center"/>
    </xf>
    <xf numFmtId="0" fontId="93" fillId="30" borderId="126" xfId="0" applyFont="1" applyFill="1" applyBorder="1" applyAlignment="1">
      <alignment horizontal="center" vertical="center" wrapText="1"/>
    </xf>
    <xf numFmtId="0" fontId="93" fillId="30" borderId="127" xfId="0" applyFont="1" applyFill="1" applyBorder="1" applyAlignment="1">
      <alignment horizontal="center" vertical="center" wrapText="1"/>
    </xf>
    <xf numFmtId="0" fontId="93" fillId="30" borderId="128" xfId="0" applyFont="1" applyFill="1" applyBorder="1" applyAlignment="1">
      <alignment horizontal="center" vertical="center" wrapText="1"/>
    </xf>
    <xf numFmtId="0" fontId="119" fillId="30" borderId="132" xfId="0" applyFont="1" applyFill="1" applyBorder="1" applyAlignment="1">
      <alignment horizontal="left"/>
    </xf>
    <xf numFmtId="0" fontId="119" fillId="30" borderId="133" xfId="0" applyFont="1" applyFill="1" applyBorder="1" applyAlignment="1">
      <alignment horizontal="left"/>
    </xf>
    <xf numFmtId="0" fontId="119" fillId="30" borderId="134" xfId="0" applyFont="1" applyFill="1" applyBorder="1" applyAlignment="1">
      <alignment horizontal="left"/>
    </xf>
    <xf numFmtId="0" fontId="119" fillId="30" borderId="26" xfId="0" applyFont="1" applyFill="1" applyBorder="1" applyAlignment="1">
      <alignment horizontal="left"/>
    </xf>
    <xf numFmtId="0" fontId="119" fillId="30" borderId="133" xfId="0" applyFont="1" applyFill="1" applyBorder="1" applyAlignment="1">
      <alignment horizontal="center"/>
    </xf>
    <xf numFmtId="0" fontId="119" fillId="30" borderId="26" xfId="0" applyFont="1" applyFill="1" applyBorder="1" applyAlignment="1">
      <alignment horizontal="center"/>
    </xf>
    <xf numFmtId="0" fontId="119" fillId="30" borderId="135" xfId="0" applyFont="1" applyFill="1" applyBorder="1" applyAlignment="1">
      <alignment horizontal="center" wrapText="1"/>
    </xf>
    <xf numFmtId="0" fontId="119" fillId="30" borderId="136" xfId="0" applyFont="1" applyFill="1" applyBorder="1" applyAlignment="1">
      <alignment horizontal="center" wrapText="1"/>
    </xf>
    <xf numFmtId="0" fontId="94" fillId="27" borderId="31" xfId="0" applyFont="1" applyFill="1" applyBorder="1" applyAlignment="1">
      <alignment horizontal="center" vertical="center"/>
    </xf>
    <xf numFmtId="0" fontId="94" fillId="27" borderId="20" xfId="0" applyFont="1" applyFill="1" applyBorder="1" applyAlignment="1">
      <alignment horizontal="center" vertical="center"/>
    </xf>
    <xf numFmtId="0" fontId="94" fillId="27" borderId="56" xfId="0" applyFont="1" applyFill="1" applyBorder="1" applyAlignment="1">
      <alignment horizontal="center" vertical="center"/>
    </xf>
    <xf numFmtId="0" fontId="40" fillId="0" borderId="51" xfId="351" applyNumberFormat="1" applyFont="1" applyFill="1" applyBorder="1" applyAlignment="1" applyProtection="1">
      <alignment horizontal="center" vertical="center" wrapText="1"/>
    </xf>
    <xf numFmtId="0" fontId="40" fillId="0" borderId="34" xfId="351" applyNumberFormat="1" applyFont="1" applyFill="1" applyBorder="1" applyAlignment="1" applyProtection="1">
      <alignment horizontal="center" vertical="center" wrapText="1"/>
    </xf>
    <xf numFmtId="0" fontId="40" fillId="0" borderId="52" xfId="351" applyNumberFormat="1" applyFont="1" applyFill="1" applyBorder="1" applyAlignment="1" applyProtection="1">
      <alignment horizontal="center" vertical="center" wrapText="1"/>
    </xf>
    <xf numFmtId="0" fontId="40" fillId="0" borderId="53" xfId="351" applyNumberFormat="1" applyFont="1" applyFill="1" applyBorder="1" applyAlignment="1" applyProtection="1">
      <alignment horizontal="center" vertical="center" wrapText="1"/>
    </xf>
    <xf numFmtId="0" fontId="40" fillId="0" borderId="54" xfId="351" applyNumberFormat="1" applyFont="1" applyFill="1" applyBorder="1" applyAlignment="1" applyProtection="1">
      <alignment horizontal="center" vertical="center" wrapText="1"/>
    </xf>
    <xf numFmtId="0" fontId="40" fillId="0" borderId="55" xfId="351" applyNumberFormat="1" applyFont="1" applyFill="1" applyBorder="1" applyAlignment="1" applyProtection="1">
      <alignment horizontal="center" vertical="center" wrapText="1"/>
    </xf>
    <xf numFmtId="49" fontId="41" fillId="0" borderId="58" xfId="350" applyNumberFormat="1" applyFont="1" applyFill="1" applyBorder="1" applyAlignment="1" applyProtection="1">
      <alignment horizontal="left" vertical="top"/>
    </xf>
    <xf numFmtId="49" fontId="41" fillId="0" borderId="59" xfId="350" applyNumberFormat="1" applyFont="1" applyFill="1" applyBorder="1" applyAlignment="1" applyProtection="1">
      <alignment horizontal="left" vertical="top"/>
    </xf>
    <xf numFmtId="0" fontId="47" fillId="30" borderId="31" xfId="0" applyNumberFormat="1" applyFont="1" applyFill="1" applyBorder="1" applyAlignment="1" applyProtection="1">
      <alignment horizontal="center" vertical="top" wrapText="1"/>
    </xf>
    <xf numFmtId="0" fontId="47" fillId="30" borderId="20" xfId="0" applyNumberFormat="1" applyFont="1" applyFill="1" applyBorder="1" applyAlignment="1" applyProtection="1">
      <alignment horizontal="center" vertical="top" wrapText="1"/>
    </xf>
    <xf numFmtId="0" fontId="47" fillId="30" borderId="50" xfId="0" applyNumberFormat="1" applyFont="1" applyFill="1" applyBorder="1" applyAlignment="1" applyProtection="1">
      <alignment horizontal="center" vertical="top" wrapText="1"/>
    </xf>
    <xf numFmtId="0" fontId="47" fillId="30" borderId="31" xfId="0" applyNumberFormat="1" applyFont="1" applyFill="1" applyBorder="1" applyAlignment="1">
      <alignment horizontal="center" vertical="top" wrapText="1"/>
    </xf>
    <xf numFmtId="0" fontId="47" fillId="30" borderId="20" xfId="0" applyNumberFormat="1" applyFont="1" applyFill="1" applyBorder="1" applyAlignment="1">
      <alignment horizontal="center" vertical="top" wrapText="1"/>
    </xf>
    <xf numFmtId="0" fontId="47" fillId="30" borderId="50" xfId="0" applyNumberFormat="1" applyFont="1" applyFill="1" applyBorder="1" applyAlignment="1">
      <alignment horizontal="center" vertical="top" wrapText="1"/>
    </xf>
    <xf numFmtId="4" fontId="41" fillId="0" borderId="28" xfId="984" applyNumberFormat="1" applyFont="1" applyBorder="1" applyAlignment="1" applyProtection="1">
      <alignment horizontal="center" vertical="center" wrapText="1"/>
    </xf>
    <xf numFmtId="4" fontId="41" fillId="0" borderId="34" xfId="984" applyNumberFormat="1" applyFont="1" applyBorder="1" applyAlignment="1" applyProtection="1">
      <alignment horizontal="center" vertical="center" wrapText="1"/>
    </xf>
    <xf numFmtId="4" fontId="41" fillId="0" borderId="0" xfId="984" applyNumberFormat="1" applyFont="1" applyFill="1" applyBorder="1" applyAlignment="1" applyProtection="1">
      <alignment horizontal="center" vertical="center" wrapText="1"/>
    </xf>
    <xf numFmtId="4" fontId="41" fillId="0" borderId="0" xfId="984" applyNumberFormat="1" applyFont="1" applyBorder="1" applyAlignment="1" applyProtection="1">
      <alignment horizontal="center" vertical="center" wrapText="1"/>
    </xf>
    <xf numFmtId="0" fontId="47" fillId="30" borderId="51" xfId="0" applyNumberFormat="1" applyFont="1" applyFill="1" applyBorder="1" applyAlignment="1" applyProtection="1">
      <alignment horizontal="center" vertical="top" wrapText="1"/>
    </xf>
    <xf numFmtId="0" fontId="47" fillId="30" borderId="34" xfId="0" applyNumberFormat="1" applyFont="1" applyFill="1" applyBorder="1" applyAlignment="1" applyProtection="1">
      <alignment horizontal="center" vertical="top" wrapText="1"/>
    </xf>
    <xf numFmtId="0" fontId="47" fillId="30" borderId="52" xfId="0" applyNumberFormat="1" applyFont="1" applyFill="1" applyBorder="1" applyAlignment="1" applyProtection="1">
      <alignment horizontal="center" vertical="top" wrapText="1"/>
    </xf>
    <xf numFmtId="0" fontId="0" fillId="0" borderId="0" xfId="0" applyAlignment="1">
      <alignment horizontal="center"/>
    </xf>
  </cellXfs>
  <cellStyles count="999">
    <cellStyle name="20 % – Poudarek1 2" xfId="1" xr:uid="{00000000-0005-0000-0000-000000000000}"/>
    <cellStyle name="20 % – Poudarek1 2 2" xfId="809" xr:uid="{00000000-0005-0000-0000-000001000000}"/>
    <cellStyle name="20 % – Poudarek2 2" xfId="2" xr:uid="{00000000-0005-0000-0000-000002000000}"/>
    <cellStyle name="20 % – Poudarek2 2 2" xfId="810" xr:uid="{00000000-0005-0000-0000-000003000000}"/>
    <cellStyle name="20 % – Poudarek3 2" xfId="3" xr:uid="{00000000-0005-0000-0000-000004000000}"/>
    <cellStyle name="20 % – Poudarek3 2 2" xfId="811" xr:uid="{00000000-0005-0000-0000-000005000000}"/>
    <cellStyle name="20 % – Poudarek4 2" xfId="4" xr:uid="{00000000-0005-0000-0000-000006000000}"/>
    <cellStyle name="20 % – Poudarek4 2 2" xfId="812" xr:uid="{00000000-0005-0000-0000-000007000000}"/>
    <cellStyle name="20 % – Poudarek5 2" xfId="5" xr:uid="{00000000-0005-0000-0000-000008000000}"/>
    <cellStyle name="20 % – Poudarek5 2 2" xfId="813" xr:uid="{00000000-0005-0000-0000-000009000000}"/>
    <cellStyle name="20 % – Poudarek6 2" xfId="6" xr:uid="{00000000-0005-0000-0000-00000A000000}"/>
    <cellStyle name="20 % – Poudarek6 2 2" xfId="814" xr:uid="{00000000-0005-0000-0000-00000B000000}"/>
    <cellStyle name="20% - Accent1" xfId="7" xr:uid="{00000000-0005-0000-0000-00000C000000}"/>
    <cellStyle name="20% - Accent1 10" xfId="8" xr:uid="{00000000-0005-0000-0000-00000D000000}"/>
    <cellStyle name="20% - Accent1 10 2" xfId="816" xr:uid="{00000000-0005-0000-0000-00000E000000}"/>
    <cellStyle name="20% - Accent1 11" xfId="9" xr:uid="{00000000-0005-0000-0000-00000F000000}"/>
    <cellStyle name="20% - Accent1 11 2" xfId="817" xr:uid="{00000000-0005-0000-0000-000010000000}"/>
    <cellStyle name="20% - Accent1 12" xfId="815" xr:uid="{00000000-0005-0000-0000-000011000000}"/>
    <cellStyle name="20% - Accent1 2" xfId="10" xr:uid="{00000000-0005-0000-0000-000012000000}"/>
    <cellStyle name="20% - Accent1 2 2" xfId="818" xr:uid="{00000000-0005-0000-0000-000013000000}"/>
    <cellStyle name="20% - Accent1 3" xfId="11" xr:uid="{00000000-0005-0000-0000-000014000000}"/>
    <cellStyle name="20% - Accent1 3 2" xfId="819" xr:uid="{00000000-0005-0000-0000-000015000000}"/>
    <cellStyle name="20% - Accent1 4" xfId="12" xr:uid="{00000000-0005-0000-0000-000016000000}"/>
    <cellStyle name="20% - Accent1 4 2" xfId="820" xr:uid="{00000000-0005-0000-0000-000017000000}"/>
    <cellStyle name="20% - Accent1 5" xfId="13" xr:uid="{00000000-0005-0000-0000-000018000000}"/>
    <cellStyle name="20% - Accent1 5 2" xfId="821" xr:uid="{00000000-0005-0000-0000-000019000000}"/>
    <cellStyle name="20% - Accent1 6" xfId="14" xr:uid="{00000000-0005-0000-0000-00001A000000}"/>
    <cellStyle name="20% - Accent1 6 2" xfId="822" xr:uid="{00000000-0005-0000-0000-00001B000000}"/>
    <cellStyle name="20% - Accent1 7" xfId="15" xr:uid="{00000000-0005-0000-0000-00001C000000}"/>
    <cellStyle name="20% - Accent1 7 2" xfId="823" xr:uid="{00000000-0005-0000-0000-00001D000000}"/>
    <cellStyle name="20% - Accent1 8" xfId="16" xr:uid="{00000000-0005-0000-0000-00001E000000}"/>
    <cellStyle name="20% - Accent1 8 2" xfId="824" xr:uid="{00000000-0005-0000-0000-00001F000000}"/>
    <cellStyle name="20% - Accent1 9" xfId="17" xr:uid="{00000000-0005-0000-0000-000020000000}"/>
    <cellStyle name="20% - Accent1 9 2" xfId="825" xr:uid="{00000000-0005-0000-0000-000021000000}"/>
    <cellStyle name="20% - Accent2" xfId="18" xr:uid="{00000000-0005-0000-0000-000022000000}"/>
    <cellStyle name="20% - Accent2 10" xfId="19" xr:uid="{00000000-0005-0000-0000-000023000000}"/>
    <cellStyle name="20% - Accent2 10 2" xfId="827" xr:uid="{00000000-0005-0000-0000-000024000000}"/>
    <cellStyle name="20% - Accent2 11" xfId="20" xr:uid="{00000000-0005-0000-0000-000025000000}"/>
    <cellStyle name="20% - Accent2 11 2" xfId="828" xr:uid="{00000000-0005-0000-0000-000026000000}"/>
    <cellStyle name="20% - Accent2 12" xfId="826" xr:uid="{00000000-0005-0000-0000-000027000000}"/>
    <cellStyle name="20% - Accent2 2" xfId="21" xr:uid="{00000000-0005-0000-0000-000028000000}"/>
    <cellStyle name="20% - Accent2 2 2" xfId="829" xr:uid="{00000000-0005-0000-0000-000029000000}"/>
    <cellStyle name="20% - Accent2 3" xfId="22" xr:uid="{00000000-0005-0000-0000-00002A000000}"/>
    <cellStyle name="20% - Accent2 3 2" xfId="830" xr:uid="{00000000-0005-0000-0000-00002B000000}"/>
    <cellStyle name="20% - Accent2 4" xfId="23" xr:uid="{00000000-0005-0000-0000-00002C000000}"/>
    <cellStyle name="20% - Accent2 4 2" xfId="831" xr:uid="{00000000-0005-0000-0000-00002D000000}"/>
    <cellStyle name="20% - Accent2 5" xfId="24" xr:uid="{00000000-0005-0000-0000-00002E000000}"/>
    <cellStyle name="20% - Accent2 5 2" xfId="832" xr:uid="{00000000-0005-0000-0000-00002F000000}"/>
    <cellStyle name="20% - Accent2 6" xfId="25" xr:uid="{00000000-0005-0000-0000-000030000000}"/>
    <cellStyle name="20% - Accent2 6 2" xfId="833" xr:uid="{00000000-0005-0000-0000-000031000000}"/>
    <cellStyle name="20% - Accent2 7" xfId="26" xr:uid="{00000000-0005-0000-0000-000032000000}"/>
    <cellStyle name="20% - Accent2 7 2" xfId="834" xr:uid="{00000000-0005-0000-0000-000033000000}"/>
    <cellStyle name="20% - Accent2 8" xfId="27" xr:uid="{00000000-0005-0000-0000-000034000000}"/>
    <cellStyle name="20% - Accent2 8 2" xfId="835" xr:uid="{00000000-0005-0000-0000-000035000000}"/>
    <cellStyle name="20% - Accent2 9" xfId="28" xr:uid="{00000000-0005-0000-0000-000036000000}"/>
    <cellStyle name="20% - Accent2 9 2" xfId="836" xr:uid="{00000000-0005-0000-0000-000037000000}"/>
    <cellStyle name="20% - Accent3" xfId="29" xr:uid="{00000000-0005-0000-0000-000038000000}"/>
    <cellStyle name="20% - Accent3 10" xfId="30" xr:uid="{00000000-0005-0000-0000-000039000000}"/>
    <cellStyle name="20% - Accent3 10 2" xfId="838" xr:uid="{00000000-0005-0000-0000-00003A000000}"/>
    <cellStyle name="20% - Accent3 11" xfId="31" xr:uid="{00000000-0005-0000-0000-00003B000000}"/>
    <cellStyle name="20% - Accent3 11 2" xfId="839" xr:uid="{00000000-0005-0000-0000-00003C000000}"/>
    <cellStyle name="20% - Accent3 12" xfId="837" xr:uid="{00000000-0005-0000-0000-00003D000000}"/>
    <cellStyle name="20% - Accent3 2" xfId="32" xr:uid="{00000000-0005-0000-0000-00003E000000}"/>
    <cellStyle name="20% - Accent3 2 2" xfId="840" xr:uid="{00000000-0005-0000-0000-00003F000000}"/>
    <cellStyle name="20% - Accent3 3" xfId="33" xr:uid="{00000000-0005-0000-0000-000040000000}"/>
    <cellStyle name="20% - Accent3 3 2" xfId="841" xr:uid="{00000000-0005-0000-0000-000041000000}"/>
    <cellStyle name="20% - Accent3 4" xfId="34" xr:uid="{00000000-0005-0000-0000-000042000000}"/>
    <cellStyle name="20% - Accent3 4 2" xfId="842" xr:uid="{00000000-0005-0000-0000-000043000000}"/>
    <cellStyle name="20% - Accent3 5" xfId="35" xr:uid="{00000000-0005-0000-0000-000044000000}"/>
    <cellStyle name="20% - Accent3 5 2" xfId="843" xr:uid="{00000000-0005-0000-0000-000045000000}"/>
    <cellStyle name="20% - Accent3 6" xfId="36" xr:uid="{00000000-0005-0000-0000-000046000000}"/>
    <cellStyle name="20% - Accent3 6 2" xfId="844" xr:uid="{00000000-0005-0000-0000-000047000000}"/>
    <cellStyle name="20% - Accent3 7" xfId="37" xr:uid="{00000000-0005-0000-0000-000048000000}"/>
    <cellStyle name="20% - Accent3 7 2" xfId="845" xr:uid="{00000000-0005-0000-0000-000049000000}"/>
    <cellStyle name="20% - Accent3 8" xfId="38" xr:uid="{00000000-0005-0000-0000-00004A000000}"/>
    <cellStyle name="20% - Accent3 8 2" xfId="846" xr:uid="{00000000-0005-0000-0000-00004B000000}"/>
    <cellStyle name="20% - Accent3 9" xfId="39" xr:uid="{00000000-0005-0000-0000-00004C000000}"/>
    <cellStyle name="20% - Accent3 9 2" xfId="847" xr:uid="{00000000-0005-0000-0000-00004D000000}"/>
    <cellStyle name="20% - Accent4" xfId="40" xr:uid="{00000000-0005-0000-0000-00004E000000}"/>
    <cellStyle name="20% - Accent4 10" xfId="41" xr:uid="{00000000-0005-0000-0000-00004F000000}"/>
    <cellStyle name="20% - Accent4 10 2" xfId="849" xr:uid="{00000000-0005-0000-0000-000050000000}"/>
    <cellStyle name="20% - Accent4 11" xfId="42" xr:uid="{00000000-0005-0000-0000-000051000000}"/>
    <cellStyle name="20% - Accent4 11 2" xfId="850" xr:uid="{00000000-0005-0000-0000-000052000000}"/>
    <cellStyle name="20% - Accent4 12" xfId="848" xr:uid="{00000000-0005-0000-0000-000053000000}"/>
    <cellStyle name="20% - Accent4 2" xfId="43" xr:uid="{00000000-0005-0000-0000-000054000000}"/>
    <cellStyle name="20% - Accent4 2 2" xfId="851" xr:uid="{00000000-0005-0000-0000-000055000000}"/>
    <cellStyle name="20% - Accent4 3" xfId="44" xr:uid="{00000000-0005-0000-0000-000056000000}"/>
    <cellStyle name="20% - Accent4 3 2" xfId="852" xr:uid="{00000000-0005-0000-0000-000057000000}"/>
    <cellStyle name="20% - Accent4 4" xfId="45" xr:uid="{00000000-0005-0000-0000-000058000000}"/>
    <cellStyle name="20% - Accent4 4 2" xfId="853" xr:uid="{00000000-0005-0000-0000-000059000000}"/>
    <cellStyle name="20% - Accent4 5" xfId="46" xr:uid="{00000000-0005-0000-0000-00005A000000}"/>
    <cellStyle name="20% - Accent4 5 2" xfId="854" xr:uid="{00000000-0005-0000-0000-00005B000000}"/>
    <cellStyle name="20% - Accent4 6" xfId="47" xr:uid="{00000000-0005-0000-0000-00005C000000}"/>
    <cellStyle name="20% - Accent4 6 2" xfId="855" xr:uid="{00000000-0005-0000-0000-00005D000000}"/>
    <cellStyle name="20% - Accent4 7" xfId="48" xr:uid="{00000000-0005-0000-0000-00005E000000}"/>
    <cellStyle name="20% - Accent4 7 2" xfId="856" xr:uid="{00000000-0005-0000-0000-00005F000000}"/>
    <cellStyle name="20% - Accent4 8" xfId="49" xr:uid="{00000000-0005-0000-0000-000060000000}"/>
    <cellStyle name="20% - Accent4 8 2" xfId="857" xr:uid="{00000000-0005-0000-0000-000061000000}"/>
    <cellStyle name="20% - Accent4 9" xfId="50" xr:uid="{00000000-0005-0000-0000-000062000000}"/>
    <cellStyle name="20% - Accent4 9 2" xfId="858" xr:uid="{00000000-0005-0000-0000-000063000000}"/>
    <cellStyle name="20% - Accent5" xfId="51" xr:uid="{00000000-0005-0000-0000-000064000000}"/>
    <cellStyle name="20% - Accent5 10" xfId="52" xr:uid="{00000000-0005-0000-0000-000065000000}"/>
    <cellStyle name="20% - Accent5 10 2" xfId="860" xr:uid="{00000000-0005-0000-0000-000066000000}"/>
    <cellStyle name="20% - Accent5 11" xfId="53" xr:uid="{00000000-0005-0000-0000-000067000000}"/>
    <cellStyle name="20% - Accent5 11 2" xfId="861" xr:uid="{00000000-0005-0000-0000-000068000000}"/>
    <cellStyle name="20% - Accent5 12" xfId="859" xr:uid="{00000000-0005-0000-0000-000069000000}"/>
    <cellStyle name="20% - Accent5 2" xfId="54" xr:uid="{00000000-0005-0000-0000-00006A000000}"/>
    <cellStyle name="20% - Accent5 2 2" xfId="862" xr:uid="{00000000-0005-0000-0000-00006B000000}"/>
    <cellStyle name="20% - Accent5 3" xfId="55" xr:uid="{00000000-0005-0000-0000-00006C000000}"/>
    <cellStyle name="20% - Accent5 3 2" xfId="863" xr:uid="{00000000-0005-0000-0000-00006D000000}"/>
    <cellStyle name="20% - Accent5 4" xfId="56" xr:uid="{00000000-0005-0000-0000-00006E000000}"/>
    <cellStyle name="20% - Accent5 4 2" xfId="864" xr:uid="{00000000-0005-0000-0000-00006F000000}"/>
    <cellStyle name="20% - Accent5 5" xfId="57" xr:uid="{00000000-0005-0000-0000-000070000000}"/>
    <cellStyle name="20% - Accent5 5 2" xfId="865" xr:uid="{00000000-0005-0000-0000-000071000000}"/>
    <cellStyle name="20% - Accent5 6" xfId="58" xr:uid="{00000000-0005-0000-0000-000072000000}"/>
    <cellStyle name="20% - Accent5 6 2" xfId="866" xr:uid="{00000000-0005-0000-0000-000073000000}"/>
    <cellStyle name="20% - Accent5 7" xfId="59" xr:uid="{00000000-0005-0000-0000-000074000000}"/>
    <cellStyle name="20% - Accent5 7 2" xfId="867" xr:uid="{00000000-0005-0000-0000-000075000000}"/>
    <cellStyle name="20% - Accent5 8" xfId="60" xr:uid="{00000000-0005-0000-0000-000076000000}"/>
    <cellStyle name="20% - Accent5 8 2" xfId="868" xr:uid="{00000000-0005-0000-0000-000077000000}"/>
    <cellStyle name="20% - Accent5 9" xfId="61" xr:uid="{00000000-0005-0000-0000-000078000000}"/>
    <cellStyle name="20% - Accent5 9 2" xfId="869" xr:uid="{00000000-0005-0000-0000-000079000000}"/>
    <cellStyle name="20% - Accent6" xfId="62" xr:uid="{00000000-0005-0000-0000-00007A000000}"/>
    <cellStyle name="20% - Accent6 10" xfId="63" xr:uid="{00000000-0005-0000-0000-00007B000000}"/>
    <cellStyle name="20% - Accent6 10 2" xfId="871" xr:uid="{00000000-0005-0000-0000-00007C000000}"/>
    <cellStyle name="20% - Accent6 11" xfId="64" xr:uid="{00000000-0005-0000-0000-00007D000000}"/>
    <cellStyle name="20% - Accent6 11 2" xfId="872" xr:uid="{00000000-0005-0000-0000-00007E000000}"/>
    <cellStyle name="20% - Accent6 12" xfId="870" xr:uid="{00000000-0005-0000-0000-00007F000000}"/>
    <cellStyle name="20% - Accent6 2" xfId="65" xr:uid="{00000000-0005-0000-0000-000080000000}"/>
    <cellStyle name="20% - Accent6 2 2" xfId="873" xr:uid="{00000000-0005-0000-0000-000081000000}"/>
    <cellStyle name="20% - Accent6 3" xfId="66" xr:uid="{00000000-0005-0000-0000-000082000000}"/>
    <cellStyle name="20% - Accent6 3 2" xfId="874" xr:uid="{00000000-0005-0000-0000-000083000000}"/>
    <cellStyle name="20% - Accent6 4" xfId="67" xr:uid="{00000000-0005-0000-0000-000084000000}"/>
    <cellStyle name="20% - Accent6 4 2" xfId="875" xr:uid="{00000000-0005-0000-0000-000085000000}"/>
    <cellStyle name="20% - Accent6 5" xfId="68" xr:uid="{00000000-0005-0000-0000-000086000000}"/>
    <cellStyle name="20% - Accent6 5 2" xfId="876" xr:uid="{00000000-0005-0000-0000-000087000000}"/>
    <cellStyle name="20% - Accent6 6" xfId="69" xr:uid="{00000000-0005-0000-0000-000088000000}"/>
    <cellStyle name="20% - Accent6 6 2" xfId="877" xr:uid="{00000000-0005-0000-0000-000089000000}"/>
    <cellStyle name="20% - Accent6 7" xfId="70" xr:uid="{00000000-0005-0000-0000-00008A000000}"/>
    <cellStyle name="20% - Accent6 7 2" xfId="878" xr:uid="{00000000-0005-0000-0000-00008B000000}"/>
    <cellStyle name="20% - Accent6 8" xfId="71" xr:uid="{00000000-0005-0000-0000-00008C000000}"/>
    <cellStyle name="20% - Accent6 8 2" xfId="879" xr:uid="{00000000-0005-0000-0000-00008D000000}"/>
    <cellStyle name="20% - Accent6 9" xfId="72" xr:uid="{00000000-0005-0000-0000-00008E000000}"/>
    <cellStyle name="20% - Accent6 9 2" xfId="880" xr:uid="{00000000-0005-0000-0000-00008F000000}"/>
    <cellStyle name="40 % – Poudarek1 2" xfId="73" xr:uid="{00000000-0005-0000-0000-000090000000}"/>
    <cellStyle name="40 % – Poudarek1 2 2" xfId="881" xr:uid="{00000000-0005-0000-0000-000091000000}"/>
    <cellStyle name="40 % – Poudarek2 2" xfId="74" xr:uid="{00000000-0005-0000-0000-000092000000}"/>
    <cellStyle name="40 % – Poudarek2 2 2" xfId="882" xr:uid="{00000000-0005-0000-0000-000093000000}"/>
    <cellStyle name="40 % – Poudarek3 2" xfId="75" xr:uid="{00000000-0005-0000-0000-000094000000}"/>
    <cellStyle name="40 % – Poudarek3 2 2" xfId="883" xr:uid="{00000000-0005-0000-0000-000095000000}"/>
    <cellStyle name="40 % – Poudarek4 2" xfId="76" xr:uid="{00000000-0005-0000-0000-000096000000}"/>
    <cellStyle name="40 % – Poudarek4 2 2" xfId="884" xr:uid="{00000000-0005-0000-0000-000097000000}"/>
    <cellStyle name="40 % – Poudarek5 2" xfId="77" xr:uid="{00000000-0005-0000-0000-000098000000}"/>
    <cellStyle name="40 % – Poudarek5 2 2" xfId="885" xr:uid="{00000000-0005-0000-0000-000099000000}"/>
    <cellStyle name="40 % – Poudarek6 2" xfId="78" xr:uid="{00000000-0005-0000-0000-00009A000000}"/>
    <cellStyle name="40 % – Poudarek6 2 2" xfId="886" xr:uid="{00000000-0005-0000-0000-00009B000000}"/>
    <cellStyle name="40% - Accent1" xfId="79" xr:uid="{00000000-0005-0000-0000-00009C000000}"/>
    <cellStyle name="40% - Accent1 10" xfId="80" xr:uid="{00000000-0005-0000-0000-00009D000000}"/>
    <cellStyle name="40% - Accent1 10 2" xfId="888" xr:uid="{00000000-0005-0000-0000-00009E000000}"/>
    <cellStyle name="40% - Accent1 11" xfId="81" xr:uid="{00000000-0005-0000-0000-00009F000000}"/>
    <cellStyle name="40% - Accent1 11 2" xfId="889" xr:uid="{00000000-0005-0000-0000-0000A0000000}"/>
    <cellStyle name="40% - Accent1 12" xfId="887" xr:uid="{00000000-0005-0000-0000-0000A1000000}"/>
    <cellStyle name="40% - Accent1 2" xfId="82" xr:uid="{00000000-0005-0000-0000-0000A2000000}"/>
    <cellStyle name="40% - Accent1 2 2" xfId="890" xr:uid="{00000000-0005-0000-0000-0000A3000000}"/>
    <cellStyle name="40% - Accent1 3" xfId="83" xr:uid="{00000000-0005-0000-0000-0000A4000000}"/>
    <cellStyle name="40% - Accent1 3 2" xfId="891" xr:uid="{00000000-0005-0000-0000-0000A5000000}"/>
    <cellStyle name="40% - Accent1 4" xfId="84" xr:uid="{00000000-0005-0000-0000-0000A6000000}"/>
    <cellStyle name="40% - Accent1 4 2" xfId="892" xr:uid="{00000000-0005-0000-0000-0000A7000000}"/>
    <cellStyle name="40% - Accent1 5" xfId="85" xr:uid="{00000000-0005-0000-0000-0000A8000000}"/>
    <cellStyle name="40% - Accent1 5 2" xfId="893" xr:uid="{00000000-0005-0000-0000-0000A9000000}"/>
    <cellStyle name="40% - Accent1 6" xfId="86" xr:uid="{00000000-0005-0000-0000-0000AA000000}"/>
    <cellStyle name="40% - Accent1 6 2" xfId="894" xr:uid="{00000000-0005-0000-0000-0000AB000000}"/>
    <cellStyle name="40% - Accent1 7" xfId="87" xr:uid="{00000000-0005-0000-0000-0000AC000000}"/>
    <cellStyle name="40% - Accent1 7 2" xfId="895" xr:uid="{00000000-0005-0000-0000-0000AD000000}"/>
    <cellStyle name="40% - Accent1 8" xfId="88" xr:uid="{00000000-0005-0000-0000-0000AE000000}"/>
    <cellStyle name="40% - Accent1 8 2" xfId="896" xr:uid="{00000000-0005-0000-0000-0000AF000000}"/>
    <cellStyle name="40% - Accent1 9" xfId="89" xr:uid="{00000000-0005-0000-0000-0000B0000000}"/>
    <cellStyle name="40% - Accent1 9 2" xfId="897" xr:uid="{00000000-0005-0000-0000-0000B1000000}"/>
    <cellStyle name="40% - Accent2" xfId="90" xr:uid="{00000000-0005-0000-0000-0000B2000000}"/>
    <cellStyle name="40% - Accent2 10" xfId="91" xr:uid="{00000000-0005-0000-0000-0000B3000000}"/>
    <cellStyle name="40% - Accent2 10 2" xfId="899" xr:uid="{00000000-0005-0000-0000-0000B4000000}"/>
    <cellStyle name="40% - Accent2 11" xfId="92" xr:uid="{00000000-0005-0000-0000-0000B5000000}"/>
    <cellStyle name="40% - Accent2 11 2" xfId="900" xr:uid="{00000000-0005-0000-0000-0000B6000000}"/>
    <cellStyle name="40% - Accent2 12" xfId="898" xr:uid="{00000000-0005-0000-0000-0000B7000000}"/>
    <cellStyle name="40% - Accent2 2" xfId="93" xr:uid="{00000000-0005-0000-0000-0000B8000000}"/>
    <cellStyle name="40% - Accent2 2 2" xfId="901" xr:uid="{00000000-0005-0000-0000-0000B9000000}"/>
    <cellStyle name="40% - Accent2 3" xfId="94" xr:uid="{00000000-0005-0000-0000-0000BA000000}"/>
    <cellStyle name="40% - Accent2 3 2" xfId="902" xr:uid="{00000000-0005-0000-0000-0000BB000000}"/>
    <cellStyle name="40% - Accent2 4" xfId="95" xr:uid="{00000000-0005-0000-0000-0000BC000000}"/>
    <cellStyle name="40% - Accent2 4 2" xfId="903" xr:uid="{00000000-0005-0000-0000-0000BD000000}"/>
    <cellStyle name="40% - Accent2 5" xfId="96" xr:uid="{00000000-0005-0000-0000-0000BE000000}"/>
    <cellStyle name="40% - Accent2 5 2" xfId="904" xr:uid="{00000000-0005-0000-0000-0000BF000000}"/>
    <cellStyle name="40% - Accent2 6" xfId="97" xr:uid="{00000000-0005-0000-0000-0000C0000000}"/>
    <cellStyle name="40% - Accent2 6 2" xfId="905" xr:uid="{00000000-0005-0000-0000-0000C1000000}"/>
    <cellStyle name="40% - Accent2 7" xfId="98" xr:uid="{00000000-0005-0000-0000-0000C2000000}"/>
    <cellStyle name="40% - Accent2 7 2" xfId="906" xr:uid="{00000000-0005-0000-0000-0000C3000000}"/>
    <cellStyle name="40% - Accent2 8" xfId="99" xr:uid="{00000000-0005-0000-0000-0000C4000000}"/>
    <cellStyle name="40% - Accent2 8 2" xfId="907" xr:uid="{00000000-0005-0000-0000-0000C5000000}"/>
    <cellStyle name="40% - Accent2 9" xfId="100" xr:uid="{00000000-0005-0000-0000-0000C6000000}"/>
    <cellStyle name="40% - Accent2 9 2" xfId="908" xr:uid="{00000000-0005-0000-0000-0000C7000000}"/>
    <cellStyle name="40% - Accent3" xfId="101" xr:uid="{00000000-0005-0000-0000-0000C8000000}"/>
    <cellStyle name="40% - Accent3 10" xfId="102" xr:uid="{00000000-0005-0000-0000-0000C9000000}"/>
    <cellStyle name="40% - Accent3 10 2" xfId="910" xr:uid="{00000000-0005-0000-0000-0000CA000000}"/>
    <cellStyle name="40% - Accent3 11" xfId="103" xr:uid="{00000000-0005-0000-0000-0000CB000000}"/>
    <cellStyle name="40% - Accent3 11 2" xfId="911" xr:uid="{00000000-0005-0000-0000-0000CC000000}"/>
    <cellStyle name="40% - Accent3 12" xfId="909" xr:uid="{00000000-0005-0000-0000-0000CD000000}"/>
    <cellStyle name="40% - Accent3 2" xfId="104" xr:uid="{00000000-0005-0000-0000-0000CE000000}"/>
    <cellStyle name="40% - Accent3 2 2" xfId="912" xr:uid="{00000000-0005-0000-0000-0000CF000000}"/>
    <cellStyle name="40% - Accent3 3" xfId="105" xr:uid="{00000000-0005-0000-0000-0000D0000000}"/>
    <cellStyle name="40% - Accent3 3 2" xfId="913" xr:uid="{00000000-0005-0000-0000-0000D1000000}"/>
    <cellStyle name="40% - Accent3 4" xfId="106" xr:uid="{00000000-0005-0000-0000-0000D2000000}"/>
    <cellStyle name="40% - Accent3 4 2" xfId="914" xr:uid="{00000000-0005-0000-0000-0000D3000000}"/>
    <cellStyle name="40% - Accent3 5" xfId="107" xr:uid="{00000000-0005-0000-0000-0000D4000000}"/>
    <cellStyle name="40% - Accent3 5 2" xfId="915" xr:uid="{00000000-0005-0000-0000-0000D5000000}"/>
    <cellStyle name="40% - Accent3 6" xfId="108" xr:uid="{00000000-0005-0000-0000-0000D6000000}"/>
    <cellStyle name="40% - Accent3 6 2" xfId="916" xr:uid="{00000000-0005-0000-0000-0000D7000000}"/>
    <cellStyle name="40% - Accent3 7" xfId="109" xr:uid="{00000000-0005-0000-0000-0000D8000000}"/>
    <cellStyle name="40% - Accent3 7 2" xfId="917" xr:uid="{00000000-0005-0000-0000-0000D9000000}"/>
    <cellStyle name="40% - Accent3 8" xfId="110" xr:uid="{00000000-0005-0000-0000-0000DA000000}"/>
    <cellStyle name="40% - Accent3 8 2" xfId="918" xr:uid="{00000000-0005-0000-0000-0000DB000000}"/>
    <cellStyle name="40% - Accent3 9" xfId="111" xr:uid="{00000000-0005-0000-0000-0000DC000000}"/>
    <cellStyle name="40% - Accent3 9 2" xfId="919" xr:uid="{00000000-0005-0000-0000-0000DD000000}"/>
    <cellStyle name="40% - Accent4" xfId="112" xr:uid="{00000000-0005-0000-0000-0000DE000000}"/>
    <cellStyle name="40% - Accent4 10" xfId="113" xr:uid="{00000000-0005-0000-0000-0000DF000000}"/>
    <cellStyle name="40% - Accent4 10 2" xfId="921" xr:uid="{00000000-0005-0000-0000-0000E0000000}"/>
    <cellStyle name="40% - Accent4 11" xfId="114" xr:uid="{00000000-0005-0000-0000-0000E1000000}"/>
    <cellStyle name="40% - Accent4 11 2" xfId="922" xr:uid="{00000000-0005-0000-0000-0000E2000000}"/>
    <cellStyle name="40% - Accent4 12" xfId="920" xr:uid="{00000000-0005-0000-0000-0000E3000000}"/>
    <cellStyle name="40% - Accent4 2" xfId="115" xr:uid="{00000000-0005-0000-0000-0000E4000000}"/>
    <cellStyle name="40% - Accent4 2 2" xfId="923" xr:uid="{00000000-0005-0000-0000-0000E5000000}"/>
    <cellStyle name="40% - Accent4 3" xfId="116" xr:uid="{00000000-0005-0000-0000-0000E6000000}"/>
    <cellStyle name="40% - Accent4 3 2" xfId="924" xr:uid="{00000000-0005-0000-0000-0000E7000000}"/>
    <cellStyle name="40% - Accent4 4" xfId="117" xr:uid="{00000000-0005-0000-0000-0000E8000000}"/>
    <cellStyle name="40% - Accent4 4 2" xfId="925" xr:uid="{00000000-0005-0000-0000-0000E9000000}"/>
    <cellStyle name="40% - Accent4 5" xfId="118" xr:uid="{00000000-0005-0000-0000-0000EA000000}"/>
    <cellStyle name="40% - Accent4 5 2" xfId="926" xr:uid="{00000000-0005-0000-0000-0000EB000000}"/>
    <cellStyle name="40% - Accent4 6" xfId="119" xr:uid="{00000000-0005-0000-0000-0000EC000000}"/>
    <cellStyle name="40% - Accent4 6 2" xfId="927" xr:uid="{00000000-0005-0000-0000-0000ED000000}"/>
    <cellStyle name="40% - Accent4 7" xfId="120" xr:uid="{00000000-0005-0000-0000-0000EE000000}"/>
    <cellStyle name="40% - Accent4 7 2" xfId="928" xr:uid="{00000000-0005-0000-0000-0000EF000000}"/>
    <cellStyle name="40% - Accent4 8" xfId="121" xr:uid="{00000000-0005-0000-0000-0000F0000000}"/>
    <cellStyle name="40% - Accent4 8 2" xfId="929" xr:uid="{00000000-0005-0000-0000-0000F1000000}"/>
    <cellStyle name="40% - Accent4 9" xfId="122" xr:uid="{00000000-0005-0000-0000-0000F2000000}"/>
    <cellStyle name="40% - Accent4 9 2" xfId="930" xr:uid="{00000000-0005-0000-0000-0000F3000000}"/>
    <cellStyle name="40% - Accent5" xfId="123" xr:uid="{00000000-0005-0000-0000-0000F4000000}"/>
    <cellStyle name="40% - Accent5 10" xfId="124" xr:uid="{00000000-0005-0000-0000-0000F5000000}"/>
    <cellStyle name="40% - Accent5 10 2" xfId="932" xr:uid="{00000000-0005-0000-0000-0000F6000000}"/>
    <cellStyle name="40% - Accent5 11" xfId="125" xr:uid="{00000000-0005-0000-0000-0000F7000000}"/>
    <cellStyle name="40% - Accent5 11 2" xfId="933" xr:uid="{00000000-0005-0000-0000-0000F8000000}"/>
    <cellStyle name="40% - Accent5 12" xfId="931" xr:uid="{00000000-0005-0000-0000-0000F9000000}"/>
    <cellStyle name="40% - Accent5 2" xfId="126" xr:uid="{00000000-0005-0000-0000-0000FA000000}"/>
    <cellStyle name="40% - Accent5 2 2" xfId="934" xr:uid="{00000000-0005-0000-0000-0000FB000000}"/>
    <cellStyle name="40% - Accent5 3" xfId="127" xr:uid="{00000000-0005-0000-0000-0000FC000000}"/>
    <cellStyle name="40% - Accent5 3 2" xfId="935" xr:uid="{00000000-0005-0000-0000-0000FD000000}"/>
    <cellStyle name="40% - Accent5 4" xfId="128" xr:uid="{00000000-0005-0000-0000-0000FE000000}"/>
    <cellStyle name="40% - Accent5 4 2" xfId="936" xr:uid="{00000000-0005-0000-0000-0000FF000000}"/>
    <cellStyle name="40% - Accent5 5" xfId="129" xr:uid="{00000000-0005-0000-0000-000000010000}"/>
    <cellStyle name="40% - Accent5 5 2" xfId="937" xr:uid="{00000000-0005-0000-0000-000001010000}"/>
    <cellStyle name="40% - Accent5 6" xfId="130" xr:uid="{00000000-0005-0000-0000-000002010000}"/>
    <cellStyle name="40% - Accent5 6 2" xfId="938" xr:uid="{00000000-0005-0000-0000-000003010000}"/>
    <cellStyle name="40% - Accent5 7" xfId="131" xr:uid="{00000000-0005-0000-0000-000004010000}"/>
    <cellStyle name="40% - Accent5 7 2" xfId="939" xr:uid="{00000000-0005-0000-0000-000005010000}"/>
    <cellStyle name="40% - Accent5 8" xfId="132" xr:uid="{00000000-0005-0000-0000-000006010000}"/>
    <cellStyle name="40% - Accent5 8 2" xfId="940" xr:uid="{00000000-0005-0000-0000-000007010000}"/>
    <cellStyle name="40% - Accent5 9" xfId="133" xr:uid="{00000000-0005-0000-0000-000008010000}"/>
    <cellStyle name="40% - Accent5 9 2" xfId="941" xr:uid="{00000000-0005-0000-0000-000009010000}"/>
    <cellStyle name="40% - Accent6" xfId="134" xr:uid="{00000000-0005-0000-0000-00000A010000}"/>
    <cellStyle name="40% - Accent6 10" xfId="135" xr:uid="{00000000-0005-0000-0000-00000B010000}"/>
    <cellStyle name="40% - Accent6 10 2" xfId="943" xr:uid="{00000000-0005-0000-0000-00000C010000}"/>
    <cellStyle name="40% - Accent6 11" xfId="136" xr:uid="{00000000-0005-0000-0000-00000D010000}"/>
    <cellStyle name="40% - Accent6 11 2" xfId="944" xr:uid="{00000000-0005-0000-0000-00000E010000}"/>
    <cellStyle name="40% - Accent6 12" xfId="942" xr:uid="{00000000-0005-0000-0000-00000F010000}"/>
    <cellStyle name="40% - Accent6 2" xfId="137" xr:uid="{00000000-0005-0000-0000-000010010000}"/>
    <cellStyle name="40% - Accent6 2 2" xfId="945" xr:uid="{00000000-0005-0000-0000-000011010000}"/>
    <cellStyle name="40% - Accent6 3" xfId="138" xr:uid="{00000000-0005-0000-0000-000012010000}"/>
    <cellStyle name="40% - Accent6 3 2" xfId="946" xr:uid="{00000000-0005-0000-0000-000013010000}"/>
    <cellStyle name="40% - Accent6 4" xfId="139" xr:uid="{00000000-0005-0000-0000-000014010000}"/>
    <cellStyle name="40% - Accent6 4 2" xfId="947" xr:uid="{00000000-0005-0000-0000-000015010000}"/>
    <cellStyle name="40% - Accent6 5" xfId="140" xr:uid="{00000000-0005-0000-0000-000016010000}"/>
    <cellStyle name="40% - Accent6 5 2" xfId="948" xr:uid="{00000000-0005-0000-0000-000017010000}"/>
    <cellStyle name="40% - Accent6 6" xfId="141" xr:uid="{00000000-0005-0000-0000-000018010000}"/>
    <cellStyle name="40% - Accent6 6 2" xfId="949" xr:uid="{00000000-0005-0000-0000-000019010000}"/>
    <cellStyle name="40% - Accent6 7" xfId="142" xr:uid="{00000000-0005-0000-0000-00001A010000}"/>
    <cellStyle name="40% - Accent6 7 2" xfId="950" xr:uid="{00000000-0005-0000-0000-00001B010000}"/>
    <cellStyle name="40% - Accent6 8" xfId="143" xr:uid="{00000000-0005-0000-0000-00001C010000}"/>
    <cellStyle name="40% - Accent6 8 2" xfId="951" xr:uid="{00000000-0005-0000-0000-00001D010000}"/>
    <cellStyle name="40% - Accent6 9" xfId="144" xr:uid="{00000000-0005-0000-0000-00001E010000}"/>
    <cellStyle name="40% - Accent6 9 2" xfId="952" xr:uid="{00000000-0005-0000-0000-00001F010000}"/>
    <cellStyle name="60 % – Poudarek1 2" xfId="145" xr:uid="{00000000-0005-0000-0000-000020010000}"/>
    <cellStyle name="60 % – Poudarek2 2" xfId="146" xr:uid="{00000000-0005-0000-0000-000021010000}"/>
    <cellStyle name="60 % – Poudarek3 2" xfId="147" xr:uid="{00000000-0005-0000-0000-000022010000}"/>
    <cellStyle name="60 % – Poudarek4 2" xfId="148" xr:uid="{00000000-0005-0000-0000-000023010000}"/>
    <cellStyle name="60 % – Poudarek5 2" xfId="149" xr:uid="{00000000-0005-0000-0000-000024010000}"/>
    <cellStyle name="60 % – Poudarek6 2" xfId="150" xr:uid="{00000000-0005-0000-0000-000025010000}"/>
    <cellStyle name="60% - Accent1" xfId="151" xr:uid="{00000000-0005-0000-0000-000026010000}"/>
    <cellStyle name="60% - Accent2" xfId="152" xr:uid="{00000000-0005-0000-0000-000027010000}"/>
    <cellStyle name="60% - Accent3" xfId="153" xr:uid="{00000000-0005-0000-0000-000028010000}"/>
    <cellStyle name="60% - Accent4" xfId="154" xr:uid="{00000000-0005-0000-0000-000029010000}"/>
    <cellStyle name="60% - Accent5" xfId="155" xr:uid="{00000000-0005-0000-0000-00002A010000}"/>
    <cellStyle name="60% - Accent6" xfId="156" xr:uid="{00000000-0005-0000-0000-00002B010000}"/>
    <cellStyle name="Accent1" xfId="157" xr:uid="{00000000-0005-0000-0000-00002C010000}"/>
    <cellStyle name="Accent2" xfId="158" xr:uid="{00000000-0005-0000-0000-00002D010000}"/>
    <cellStyle name="Accent3" xfId="159" xr:uid="{00000000-0005-0000-0000-00002E010000}"/>
    <cellStyle name="Accent4" xfId="160" xr:uid="{00000000-0005-0000-0000-00002F010000}"/>
    <cellStyle name="Accent5" xfId="161" xr:uid="{00000000-0005-0000-0000-000030010000}"/>
    <cellStyle name="Accent6" xfId="162" xr:uid="{00000000-0005-0000-0000-000031010000}"/>
    <cellStyle name="Bad" xfId="163" xr:uid="{00000000-0005-0000-0000-000032010000}"/>
    <cellStyle name="Calculation" xfId="164" xr:uid="{00000000-0005-0000-0000-000033010000}"/>
    <cellStyle name="Check Cell" xfId="165" xr:uid="{00000000-0005-0000-0000-000034010000}"/>
    <cellStyle name="Comma 2" xfId="166" xr:uid="{00000000-0005-0000-0000-000036010000}"/>
    <cellStyle name="Comma 3" xfId="995" xr:uid="{00000000-0005-0000-0000-000037010000}"/>
    <cellStyle name="Comma0" xfId="167" xr:uid="{00000000-0005-0000-0000-000038010000}"/>
    <cellStyle name="Currency 2" xfId="998" xr:uid="{00000000-0005-0000-0000-000039010000}"/>
    <cellStyle name="Currency0" xfId="168" xr:uid="{00000000-0005-0000-0000-00003A010000}"/>
    <cellStyle name="Date" xfId="169" xr:uid="{00000000-0005-0000-0000-00003B010000}"/>
    <cellStyle name="Dobro 2" xfId="170" xr:uid="{00000000-0005-0000-0000-00003C010000}"/>
    <cellStyle name="Excel Built-in Normal" xfId="171" xr:uid="{00000000-0005-0000-0000-00003D010000}"/>
    <cellStyle name="Explanatory Text" xfId="172" xr:uid="{00000000-0005-0000-0000-00003E010000}"/>
    <cellStyle name="Fixed" xfId="173" xr:uid="{00000000-0005-0000-0000-00003F010000}"/>
    <cellStyle name="Good" xfId="174" xr:uid="{00000000-0005-0000-0000-000040010000}"/>
    <cellStyle name="Heading 1" xfId="175" xr:uid="{00000000-0005-0000-0000-000041010000}"/>
    <cellStyle name="Heading 2" xfId="176" xr:uid="{00000000-0005-0000-0000-000042010000}"/>
    <cellStyle name="Heading 3" xfId="177" xr:uid="{00000000-0005-0000-0000-000043010000}"/>
    <cellStyle name="Heading 4" xfId="178" xr:uid="{00000000-0005-0000-0000-000044010000}"/>
    <cellStyle name="Heading1" xfId="179" xr:uid="{00000000-0005-0000-0000-000045010000}"/>
    <cellStyle name="Heading2" xfId="180" xr:uid="{00000000-0005-0000-0000-000046010000}"/>
    <cellStyle name="Input" xfId="181" xr:uid="{00000000-0005-0000-0000-000047010000}"/>
    <cellStyle name="Izhod 2" xfId="182" xr:uid="{00000000-0005-0000-0000-000048010000}"/>
    <cellStyle name="Keš" xfId="183" xr:uid="{00000000-0005-0000-0000-000049010000}"/>
    <cellStyle name="Linked Cell" xfId="184" xr:uid="{00000000-0005-0000-0000-00004A010000}"/>
    <cellStyle name="Naslov 1 2" xfId="185" xr:uid="{00000000-0005-0000-0000-00004B010000}"/>
    <cellStyle name="Naslov 2 2" xfId="186" xr:uid="{00000000-0005-0000-0000-00004C010000}"/>
    <cellStyle name="Naslov 3 2" xfId="187" xr:uid="{00000000-0005-0000-0000-00004D010000}"/>
    <cellStyle name="Naslov 4 2" xfId="188" xr:uid="{00000000-0005-0000-0000-00004E010000}"/>
    <cellStyle name="Naslov 5" xfId="189" xr:uid="{00000000-0005-0000-0000-00004F010000}"/>
    <cellStyle name="Navadno" xfId="0" builtinId="0"/>
    <cellStyle name="Navadno 11 10" xfId="190" xr:uid="{00000000-0005-0000-0000-000050010000}"/>
    <cellStyle name="Navadno 11 11" xfId="191" xr:uid="{00000000-0005-0000-0000-000051010000}"/>
    <cellStyle name="Navadno 11 12" xfId="192" xr:uid="{00000000-0005-0000-0000-000052010000}"/>
    <cellStyle name="Navadno 11 13" xfId="193" xr:uid="{00000000-0005-0000-0000-000053010000}"/>
    <cellStyle name="Navadno 11 14" xfId="194" xr:uid="{00000000-0005-0000-0000-000054010000}"/>
    <cellStyle name="Navadno 11 15" xfId="195" xr:uid="{00000000-0005-0000-0000-000055010000}"/>
    <cellStyle name="Navadno 11 16" xfId="196" xr:uid="{00000000-0005-0000-0000-000056010000}"/>
    <cellStyle name="Navadno 11 17" xfId="197" xr:uid="{00000000-0005-0000-0000-000057010000}"/>
    <cellStyle name="Navadno 11 18" xfId="198" xr:uid="{00000000-0005-0000-0000-000058010000}"/>
    <cellStyle name="Navadno 11 19" xfId="199" xr:uid="{00000000-0005-0000-0000-000059010000}"/>
    <cellStyle name="Navadno 11 2" xfId="200" xr:uid="{00000000-0005-0000-0000-00005A010000}"/>
    <cellStyle name="Navadno 11 20" xfId="201" xr:uid="{00000000-0005-0000-0000-00005B010000}"/>
    <cellStyle name="Navadno 11 21" xfId="202" xr:uid="{00000000-0005-0000-0000-00005C010000}"/>
    <cellStyle name="Navadno 11 22" xfId="203" xr:uid="{00000000-0005-0000-0000-00005D010000}"/>
    <cellStyle name="Navadno 11 23" xfId="204" xr:uid="{00000000-0005-0000-0000-00005E010000}"/>
    <cellStyle name="Navadno 11 24" xfId="205" xr:uid="{00000000-0005-0000-0000-00005F010000}"/>
    <cellStyle name="Navadno 11 25" xfId="206" xr:uid="{00000000-0005-0000-0000-000060010000}"/>
    <cellStyle name="Navadno 11 26" xfId="207" xr:uid="{00000000-0005-0000-0000-000061010000}"/>
    <cellStyle name="Navadno 11 27" xfId="208" xr:uid="{00000000-0005-0000-0000-000062010000}"/>
    <cellStyle name="Navadno 11 28" xfId="209" xr:uid="{00000000-0005-0000-0000-000063010000}"/>
    <cellStyle name="Navadno 11 29" xfId="210" xr:uid="{00000000-0005-0000-0000-000064010000}"/>
    <cellStyle name="Navadno 11 3" xfId="211" xr:uid="{00000000-0005-0000-0000-000065010000}"/>
    <cellStyle name="Navadno 11 30" xfId="212" xr:uid="{00000000-0005-0000-0000-000066010000}"/>
    <cellStyle name="Navadno 11 31" xfId="213" xr:uid="{00000000-0005-0000-0000-000067010000}"/>
    <cellStyle name="Navadno 11 32" xfId="214" xr:uid="{00000000-0005-0000-0000-000068010000}"/>
    <cellStyle name="Navadno 11 33" xfId="215" xr:uid="{00000000-0005-0000-0000-000069010000}"/>
    <cellStyle name="Navadno 11 34" xfId="216" xr:uid="{00000000-0005-0000-0000-00006A010000}"/>
    <cellStyle name="Navadno 11 35" xfId="217" xr:uid="{00000000-0005-0000-0000-00006B010000}"/>
    <cellStyle name="Navadno 11 36" xfId="218" xr:uid="{00000000-0005-0000-0000-00006C010000}"/>
    <cellStyle name="Navadno 11 37" xfId="219" xr:uid="{00000000-0005-0000-0000-00006D010000}"/>
    <cellStyle name="Navadno 11 38" xfId="220" xr:uid="{00000000-0005-0000-0000-00006E010000}"/>
    <cellStyle name="Navadno 11 39" xfId="221" xr:uid="{00000000-0005-0000-0000-00006F010000}"/>
    <cellStyle name="Navadno 11 4" xfId="222" xr:uid="{00000000-0005-0000-0000-000070010000}"/>
    <cellStyle name="Navadno 11 40" xfId="223" xr:uid="{00000000-0005-0000-0000-000071010000}"/>
    <cellStyle name="Navadno 11 41" xfId="224" xr:uid="{00000000-0005-0000-0000-000072010000}"/>
    <cellStyle name="Navadno 11 42" xfId="225" xr:uid="{00000000-0005-0000-0000-000073010000}"/>
    <cellStyle name="Navadno 11 43" xfId="226" xr:uid="{00000000-0005-0000-0000-000074010000}"/>
    <cellStyle name="Navadno 11 44" xfId="227" xr:uid="{00000000-0005-0000-0000-000075010000}"/>
    <cellStyle name="Navadno 11 45" xfId="228" xr:uid="{00000000-0005-0000-0000-000076010000}"/>
    <cellStyle name="Navadno 11 46" xfId="229" xr:uid="{00000000-0005-0000-0000-000077010000}"/>
    <cellStyle name="Navadno 11 47" xfId="230" xr:uid="{00000000-0005-0000-0000-000078010000}"/>
    <cellStyle name="Navadno 11 48" xfId="231" xr:uid="{00000000-0005-0000-0000-000079010000}"/>
    <cellStyle name="Navadno 11 49" xfId="232" xr:uid="{00000000-0005-0000-0000-00007A010000}"/>
    <cellStyle name="Navadno 11 5" xfId="233" xr:uid="{00000000-0005-0000-0000-00007B010000}"/>
    <cellStyle name="Navadno 11 50" xfId="234" xr:uid="{00000000-0005-0000-0000-00007C010000}"/>
    <cellStyle name="Navadno 11 51" xfId="235" xr:uid="{00000000-0005-0000-0000-00007D010000}"/>
    <cellStyle name="Navadno 11 52" xfId="236" xr:uid="{00000000-0005-0000-0000-00007E010000}"/>
    <cellStyle name="Navadno 11 53" xfId="237" xr:uid="{00000000-0005-0000-0000-00007F010000}"/>
    <cellStyle name="Navadno 11 54" xfId="238" xr:uid="{00000000-0005-0000-0000-000080010000}"/>
    <cellStyle name="Navadno 11 55" xfId="239" xr:uid="{00000000-0005-0000-0000-000081010000}"/>
    <cellStyle name="Navadno 11 56" xfId="240" xr:uid="{00000000-0005-0000-0000-000082010000}"/>
    <cellStyle name="Navadno 11 57" xfId="241" xr:uid="{00000000-0005-0000-0000-000083010000}"/>
    <cellStyle name="Navadno 11 58" xfId="242" xr:uid="{00000000-0005-0000-0000-000084010000}"/>
    <cellStyle name="Navadno 11 59" xfId="243" xr:uid="{00000000-0005-0000-0000-000085010000}"/>
    <cellStyle name="Navadno 11 6" xfId="244" xr:uid="{00000000-0005-0000-0000-000086010000}"/>
    <cellStyle name="Navadno 11 60" xfId="245" xr:uid="{00000000-0005-0000-0000-000087010000}"/>
    <cellStyle name="Navadno 11 61" xfId="246" xr:uid="{00000000-0005-0000-0000-000088010000}"/>
    <cellStyle name="Navadno 11 62" xfId="247" xr:uid="{00000000-0005-0000-0000-000089010000}"/>
    <cellStyle name="Navadno 11 63" xfId="248" xr:uid="{00000000-0005-0000-0000-00008A010000}"/>
    <cellStyle name="Navadno 11 64" xfId="249" xr:uid="{00000000-0005-0000-0000-00008B010000}"/>
    <cellStyle name="Navadno 11 65" xfId="250" xr:uid="{00000000-0005-0000-0000-00008C010000}"/>
    <cellStyle name="Navadno 11 66" xfId="251" xr:uid="{00000000-0005-0000-0000-00008D010000}"/>
    <cellStyle name="Navadno 11 67" xfId="252" xr:uid="{00000000-0005-0000-0000-00008E010000}"/>
    <cellStyle name="Navadno 11 68" xfId="253" xr:uid="{00000000-0005-0000-0000-00008F010000}"/>
    <cellStyle name="Navadno 11 69" xfId="254" xr:uid="{00000000-0005-0000-0000-000090010000}"/>
    <cellStyle name="Navadno 11 7" xfId="255" xr:uid="{00000000-0005-0000-0000-000091010000}"/>
    <cellStyle name="Navadno 11 70" xfId="256" xr:uid="{00000000-0005-0000-0000-000092010000}"/>
    <cellStyle name="Navadno 11 71" xfId="257" xr:uid="{00000000-0005-0000-0000-000093010000}"/>
    <cellStyle name="Navadno 11 72" xfId="258" xr:uid="{00000000-0005-0000-0000-000094010000}"/>
    <cellStyle name="Navadno 11 73" xfId="259" xr:uid="{00000000-0005-0000-0000-000095010000}"/>
    <cellStyle name="Navadno 11 74" xfId="260" xr:uid="{00000000-0005-0000-0000-000096010000}"/>
    <cellStyle name="Navadno 11 75" xfId="261" xr:uid="{00000000-0005-0000-0000-000097010000}"/>
    <cellStyle name="Navadno 11 76" xfId="262" xr:uid="{00000000-0005-0000-0000-000098010000}"/>
    <cellStyle name="Navadno 11 77" xfId="263" xr:uid="{00000000-0005-0000-0000-000099010000}"/>
    <cellStyle name="Navadno 11 78" xfId="264" xr:uid="{00000000-0005-0000-0000-00009A010000}"/>
    <cellStyle name="Navadno 11 79" xfId="265" xr:uid="{00000000-0005-0000-0000-00009B010000}"/>
    <cellStyle name="Navadno 11 8" xfId="266" xr:uid="{00000000-0005-0000-0000-00009C010000}"/>
    <cellStyle name="Navadno 11 80" xfId="267" xr:uid="{00000000-0005-0000-0000-00009D010000}"/>
    <cellStyle name="Navadno 11 81" xfId="268" xr:uid="{00000000-0005-0000-0000-00009E010000}"/>
    <cellStyle name="Navadno 11 82" xfId="269" xr:uid="{00000000-0005-0000-0000-00009F010000}"/>
    <cellStyle name="Navadno 11 83" xfId="270" xr:uid="{00000000-0005-0000-0000-0000A0010000}"/>
    <cellStyle name="Navadno 11 84" xfId="271" xr:uid="{00000000-0005-0000-0000-0000A1010000}"/>
    <cellStyle name="Navadno 11 85" xfId="272" xr:uid="{00000000-0005-0000-0000-0000A2010000}"/>
    <cellStyle name="Navadno 11 9" xfId="273" xr:uid="{00000000-0005-0000-0000-0000A3010000}"/>
    <cellStyle name="Navadno 15" xfId="274" xr:uid="{00000000-0005-0000-0000-0000A4010000}"/>
    <cellStyle name="Navadno 17 2" xfId="275" xr:uid="{00000000-0005-0000-0000-0000A5010000}"/>
    <cellStyle name="Navadno 17 2 2" xfId="276" xr:uid="{00000000-0005-0000-0000-0000A6010000}"/>
    <cellStyle name="Navadno 17 2 2 2" xfId="953" xr:uid="{00000000-0005-0000-0000-0000A7010000}"/>
    <cellStyle name="Navadno 19 2" xfId="277" xr:uid="{00000000-0005-0000-0000-0000A8010000}"/>
    <cellStyle name="Navadno 19 2 2" xfId="278" xr:uid="{00000000-0005-0000-0000-0000A9010000}"/>
    <cellStyle name="Navadno 19 2 2 2" xfId="954" xr:uid="{00000000-0005-0000-0000-0000AA010000}"/>
    <cellStyle name="Navadno 2" xfId="279" xr:uid="{00000000-0005-0000-0000-0000AB010000}"/>
    <cellStyle name="Navadno 2 2" xfId="280" xr:uid="{00000000-0005-0000-0000-0000AC010000}"/>
    <cellStyle name="Navadno 2 2 2 2" xfId="281" xr:uid="{00000000-0005-0000-0000-0000AD010000}"/>
    <cellStyle name="Navadno 2 3" xfId="282" xr:uid="{00000000-0005-0000-0000-0000AE010000}"/>
    <cellStyle name="Navadno 2 4" xfId="283" xr:uid="{00000000-0005-0000-0000-0000AF010000}"/>
    <cellStyle name="Navadno 20 2" xfId="284" xr:uid="{00000000-0005-0000-0000-0000B0010000}"/>
    <cellStyle name="Navadno 20 2 2" xfId="285" xr:uid="{00000000-0005-0000-0000-0000B1010000}"/>
    <cellStyle name="Navadno 20 2 2 2" xfId="955" xr:uid="{00000000-0005-0000-0000-0000B2010000}"/>
    <cellStyle name="Navadno 21 2" xfId="286" xr:uid="{00000000-0005-0000-0000-0000B3010000}"/>
    <cellStyle name="Navadno 21 2 2" xfId="287" xr:uid="{00000000-0005-0000-0000-0000B4010000}"/>
    <cellStyle name="Navadno 21 2 2 2" xfId="956" xr:uid="{00000000-0005-0000-0000-0000B5010000}"/>
    <cellStyle name="Navadno 22 2" xfId="288" xr:uid="{00000000-0005-0000-0000-0000B6010000}"/>
    <cellStyle name="Navadno 22 2 2" xfId="289" xr:uid="{00000000-0005-0000-0000-0000B7010000}"/>
    <cellStyle name="Navadno 22 2 2 2" xfId="957" xr:uid="{00000000-0005-0000-0000-0000B8010000}"/>
    <cellStyle name="Navadno 23 2" xfId="290" xr:uid="{00000000-0005-0000-0000-0000B9010000}"/>
    <cellStyle name="Navadno 23 2 2" xfId="291" xr:uid="{00000000-0005-0000-0000-0000BA010000}"/>
    <cellStyle name="Navadno 23 2 2 2" xfId="958" xr:uid="{00000000-0005-0000-0000-0000BB010000}"/>
    <cellStyle name="Navadno 24 2" xfId="292" xr:uid="{00000000-0005-0000-0000-0000BC010000}"/>
    <cellStyle name="Navadno 24 2 2" xfId="293" xr:uid="{00000000-0005-0000-0000-0000BD010000}"/>
    <cellStyle name="Navadno 24 2 2 2" xfId="959" xr:uid="{00000000-0005-0000-0000-0000BE010000}"/>
    <cellStyle name="Navadno 25 2" xfId="294" xr:uid="{00000000-0005-0000-0000-0000BF010000}"/>
    <cellStyle name="Navadno 25 2 2" xfId="295" xr:uid="{00000000-0005-0000-0000-0000C0010000}"/>
    <cellStyle name="Navadno 25 2 2 2" xfId="960" xr:uid="{00000000-0005-0000-0000-0000C1010000}"/>
    <cellStyle name="Navadno 26 2" xfId="296" xr:uid="{00000000-0005-0000-0000-0000C2010000}"/>
    <cellStyle name="Navadno 26 2 2" xfId="297" xr:uid="{00000000-0005-0000-0000-0000C3010000}"/>
    <cellStyle name="Navadno 26 2 2 2" xfId="961" xr:uid="{00000000-0005-0000-0000-0000C4010000}"/>
    <cellStyle name="Navadno 27 2" xfId="298" xr:uid="{00000000-0005-0000-0000-0000C5010000}"/>
    <cellStyle name="Navadno 27 2 2" xfId="299" xr:uid="{00000000-0005-0000-0000-0000C6010000}"/>
    <cellStyle name="Navadno 27 2 2 2" xfId="962" xr:uid="{00000000-0005-0000-0000-0000C7010000}"/>
    <cellStyle name="Navadno 28 2" xfId="300" xr:uid="{00000000-0005-0000-0000-0000C8010000}"/>
    <cellStyle name="Navadno 28 2 2" xfId="301" xr:uid="{00000000-0005-0000-0000-0000C9010000}"/>
    <cellStyle name="Navadno 28 2 2 2" xfId="963" xr:uid="{00000000-0005-0000-0000-0000CA010000}"/>
    <cellStyle name="Navadno 29 2" xfId="302" xr:uid="{00000000-0005-0000-0000-0000CB010000}"/>
    <cellStyle name="Navadno 29 2 2" xfId="303" xr:uid="{00000000-0005-0000-0000-0000CC010000}"/>
    <cellStyle name="Navadno 29 2 2 2" xfId="964" xr:uid="{00000000-0005-0000-0000-0000CD010000}"/>
    <cellStyle name="Navadno 3" xfId="304" xr:uid="{00000000-0005-0000-0000-0000CE010000}"/>
    <cellStyle name="Navadno 3 2" xfId="808" xr:uid="{00000000-0005-0000-0000-0000CF010000}"/>
    <cellStyle name="Navadno 3 32" xfId="305" xr:uid="{00000000-0005-0000-0000-0000D0010000}"/>
    <cellStyle name="Navadno 30 2" xfId="306" xr:uid="{00000000-0005-0000-0000-0000D1010000}"/>
    <cellStyle name="Navadno 31 2" xfId="307" xr:uid="{00000000-0005-0000-0000-0000D2010000}"/>
    <cellStyle name="Navadno 32 2" xfId="308" xr:uid="{00000000-0005-0000-0000-0000D3010000}"/>
    <cellStyle name="Navadno 33 2" xfId="309" xr:uid="{00000000-0005-0000-0000-0000D4010000}"/>
    <cellStyle name="Navadno 34 2" xfId="310" xr:uid="{00000000-0005-0000-0000-0000D5010000}"/>
    <cellStyle name="Navadno 34 2 2" xfId="311" xr:uid="{00000000-0005-0000-0000-0000D6010000}"/>
    <cellStyle name="Navadno 34 2 2 2" xfId="965" xr:uid="{00000000-0005-0000-0000-0000D7010000}"/>
    <cellStyle name="Navadno 35 2" xfId="312" xr:uid="{00000000-0005-0000-0000-0000D8010000}"/>
    <cellStyle name="Navadno 35 2 2" xfId="313" xr:uid="{00000000-0005-0000-0000-0000D9010000}"/>
    <cellStyle name="Navadno 35 2 2 2" xfId="966" xr:uid="{00000000-0005-0000-0000-0000DA010000}"/>
    <cellStyle name="Navadno 36 2" xfId="314" xr:uid="{00000000-0005-0000-0000-0000DB010000}"/>
    <cellStyle name="Navadno 37 2" xfId="315" xr:uid="{00000000-0005-0000-0000-0000DC010000}"/>
    <cellStyle name="Navadno 37 2 2" xfId="316" xr:uid="{00000000-0005-0000-0000-0000DD010000}"/>
    <cellStyle name="Navadno 37 2 2 2" xfId="967" xr:uid="{00000000-0005-0000-0000-0000DE010000}"/>
    <cellStyle name="Navadno 38 2" xfId="317" xr:uid="{00000000-0005-0000-0000-0000DF010000}"/>
    <cellStyle name="Navadno 38 2 2" xfId="318" xr:uid="{00000000-0005-0000-0000-0000E0010000}"/>
    <cellStyle name="Navadno 38 2 2 2" xfId="968" xr:uid="{00000000-0005-0000-0000-0000E1010000}"/>
    <cellStyle name="Navadno 39 2" xfId="319" xr:uid="{00000000-0005-0000-0000-0000E2010000}"/>
    <cellStyle name="Navadno 39 2 2" xfId="320" xr:uid="{00000000-0005-0000-0000-0000E3010000}"/>
    <cellStyle name="Navadno 39 2 2 2" xfId="969" xr:uid="{00000000-0005-0000-0000-0000E4010000}"/>
    <cellStyle name="Navadno 4" xfId="321" xr:uid="{00000000-0005-0000-0000-0000E5010000}"/>
    <cellStyle name="Navadno 40 2" xfId="322" xr:uid="{00000000-0005-0000-0000-0000E6010000}"/>
    <cellStyle name="Navadno 40 2 2" xfId="323" xr:uid="{00000000-0005-0000-0000-0000E7010000}"/>
    <cellStyle name="Navadno 40 2 2 2" xfId="970" xr:uid="{00000000-0005-0000-0000-0000E8010000}"/>
    <cellStyle name="Navadno 41 2" xfId="324" xr:uid="{00000000-0005-0000-0000-0000E9010000}"/>
    <cellStyle name="Navadno 41 2 2" xfId="325" xr:uid="{00000000-0005-0000-0000-0000EA010000}"/>
    <cellStyle name="Navadno 41 2 2 2" xfId="971" xr:uid="{00000000-0005-0000-0000-0000EB010000}"/>
    <cellStyle name="Navadno 42 2" xfId="326" xr:uid="{00000000-0005-0000-0000-0000EC010000}"/>
    <cellStyle name="Navadno 42 3" xfId="327" xr:uid="{00000000-0005-0000-0000-0000ED010000}"/>
    <cellStyle name="Navadno 42 3 2" xfId="328" xr:uid="{00000000-0005-0000-0000-0000EE010000}"/>
    <cellStyle name="Navadno 42 3 2 2" xfId="972" xr:uid="{00000000-0005-0000-0000-0000EF010000}"/>
    <cellStyle name="Navadno 43 2" xfId="329" xr:uid="{00000000-0005-0000-0000-0000F0010000}"/>
    <cellStyle name="Navadno 43 2 2" xfId="330" xr:uid="{00000000-0005-0000-0000-0000F1010000}"/>
    <cellStyle name="Navadno 43 2 2 2" xfId="973" xr:uid="{00000000-0005-0000-0000-0000F2010000}"/>
    <cellStyle name="Navadno 45 2" xfId="331" xr:uid="{00000000-0005-0000-0000-0000F3010000}"/>
    <cellStyle name="Navadno 45 2 2" xfId="332" xr:uid="{00000000-0005-0000-0000-0000F4010000}"/>
    <cellStyle name="Navadno 45 2 2 2" xfId="974" xr:uid="{00000000-0005-0000-0000-0000F5010000}"/>
    <cellStyle name="Navadno 5" xfId="333" xr:uid="{00000000-0005-0000-0000-0000F6010000}"/>
    <cellStyle name="Navadno 6" xfId="334" xr:uid="{00000000-0005-0000-0000-0000F7010000}"/>
    <cellStyle name="Navadno 6 2" xfId="335" xr:uid="{00000000-0005-0000-0000-0000F8010000}"/>
    <cellStyle name="Navadno 8" xfId="336" xr:uid="{00000000-0005-0000-0000-0000F9010000}"/>
    <cellStyle name="Navadno 9" xfId="337" xr:uid="{00000000-0005-0000-0000-0000FA010000}"/>
    <cellStyle name="Navadno_BoQ-SE" xfId="338" xr:uid="{00000000-0005-0000-0000-0000FB010000}"/>
    <cellStyle name="Navadno_JN 31 grad-2000 disketa" xfId="982" xr:uid="{00000000-0005-0000-0000-0000FC010000}"/>
    <cellStyle name="Navadno_JN 74grad vodovod" xfId="997" xr:uid="{00000000-0005-0000-0000-0000FD010000}"/>
    <cellStyle name="Navadno_Predračun 2.del II.faze barvano" xfId="339" xr:uid="{00000000-0005-0000-0000-0000FE010000}"/>
    <cellStyle name="Navadno_Volume 4 - BoQ - cene" xfId="340" xr:uid="{00000000-0005-0000-0000-0000FF010000}"/>
    <cellStyle name="Neutral" xfId="341" xr:uid="{00000000-0005-0000-0000-000000020000}"/>
    <cellStyle name="Nevtralno 2" xfId="342" xr:uid="{00000000-0005-0000-0000-000001020000}"/>
    <cellStyle name="Nivo_2_Podnaslov" xfId="343" xr:uid="{00000000-0005-0000-0000-000002020000}"/>
    <cellStyle name="Normal 10" xfId="984" xr:uid="{00000000-0005-0000-0000-000004020000}"/>
    <cellStyle name="Normal 11" xfId="986" xr:uid="{00000000-0005-0000-0000-000005020000}"/>
    <cellStyle name="Normal 11 2" xfId="996" xr:uid="{00000000-0005-0000-0000-000006020000}"/>
    <cellStyle name="Normal 12" xfId="990" xr:uid="{00000000-0005-0000-0000-000007020000}"/>
    <cellStyle name="Normal 2" xfId="344" xr:uid="{00000000-0005-0000-0000-000008020000}"/>
    <cellStyle name="normal 2 2" xfId="345" xr:uid="{00000000-0005-0000-0000-000009020000}"/>
    <cellStyle name="normal 2 3" xfId="346" xr:uid="{00000000-0005-0000-0000-00000A020000}"/>
    <cellStyle name="Normal 2 4" xfId="347" xr:uid="{00000000-0005-0000-0000-00000B020000}"/>
    <cellStyle name="Normal 2 5" xfId="988" xr:uid="{00000000-0005-0000-0000-00000C020000}"/>
    <cellStyle name="Normal 3" xfId="348" xr:uid="{00000000-0005-0000-0000-00000D020000}"/>
    <cellStyle name="normal 4" xfId="349" xr:uid="{00000000-0005-0000-0000-00000E020000}"/>
    <cellStyle name="Normal 4 2" xfId="987" xr:uid="{00000000-0005-0000-0000-00000F020000}"/>
    <cellStyle name="Normal 5" xfId="806" xr:uid="{00000000-0005-0000-0000-000010020000}"/>
    <cellStyle name="Normal 6" xfId="807" xr:uid="{00000000-0005-0000-0000-000011020000}"/>
    <cellStyle name="Normal 7" xfId="978" xr:uid="{00000000-0005-0000-0000-000012020000}"/>
    <cellStyle name="Normal 8" xfId="979" xr:uid="{00000000-0005-0000-0000-000013020000}"/>
    <cellStyle name="Normal 9" xfId="980" xr:uid="{00000000-0005-0000-0000-000014020000}"/>
    <cellStyle name="Normal_BoQ - cene sit_eur" xfId="350" xr:uid="{00000000-0005-0000-0000-000015020000}"/>
    <cellStyle name="Normal_BoQ - cene sit_eur 2 2" xfId="351" xr:uid="{00000000-0005-0000-0000-000016020000}"/>
    <cellStyle name="Normal_predracungameljne" xfId="989" xr:uid="{00000000-0005-0000-0000-000017020000}"/>
    <cellStyle name="Normal_Sheet1" xfId="983" xr:uid="{00000000-0005-0000-0000-000018020000}"/>
    <cellStyle name="Note" xfId="352" xr:uid="{00000000-0005-0000-0000-000019020000}"/>
    <cellStyle name="Odstotek 2" xfId="353" xr:uid="{00000000-0005-0000-0000-00001A020000}"/>
    <cellStyle name="Odstotek 2 2" xfId="354" xr:uid="{00000000-0005-0000-0000-00001B020000}"/>
    <cellStyle name="Opomba 2" xfId="355" xr:uid="{00000000-0005-0000-0000-00001C020000}"/>
    <cellStyle name="Opomba 2 2" xfId="975" xr:uid="{00000000-0005-0000-0000-00001D020000}"/>
    <cellStyle name="Opozorilo 2" xfId="356" xr:uid="{00000000-0005-0000-0000-00001E020000}"/>
    <cellStyle name="Output" xfId="357" xr:uid="{00000000-0005-0000-0000-00001F020000}"/>
    <cellStyle name="Percent 2" xfId="985" xr:uid="{00000000-0005-0000-0000-000020020000}"/>
    <cellStyle name="Pojasnjevalno besedilo 2" xfId="358" xr:uid="{00000000-0005-0000-0000-000021020000}"/>
    <cellStyle name="popis" xfId="805" xr:uid="{00000000-0005-0000-0000-000022020000}"/>
    <cellStyle name="Poudarek1 2" xfId="359" xr:uid="{00000000-0005-0000-0000-000023020000}"/>
    <cellStyle name="Poudarek2 2" xfId="360" xr:uid="{00000000-0005-0000-0000-000024020000}"/>
    <cellStyle name="Poudarek3 2" xfId="361" xr:uid="{00000000-0005-0000-0000-000025020000}"/>
    <cellStyle name="Poudarek4 2" xfId="362" xr:uid="{00000000-0005-0000-0000-000026020000}"/>
    <cellStyle name="Poudarek5 2" xfId="363" xr:uid="{00000000-0005-0000-0000-000027020000}"/>
    <cellStyle name="Poudarek6 2" xfId="364" xr:uid="{00000000-0005-0000-0000-000028020000}"/>
    <cellStyle name="Povezana celica 2" xfId="365" xr:uid="{00000000-0005-0000-0000-000029020000}"/>
    <cellStyle name="Preveri celico 2" xfId="366" xr:uid="{00000000-0005-0000-0000-00002A020000}"/>
    <cellStyle name="Računanje 2" xfId="367" xr:uid="{00000000-0005-0000-0000-00002B020000}"/>
    <cellStyle name="Slabo 2" xfId="368" xr:uid="{00000000-0005-0000-0000-00002C020000}"/>
    <cellStyle name="Slog 1" xfId="369" xr:uid="{00000000-0005-0000-0000-00002D020000}"/>
    <cellStyle name="Style 1" xfId="370" xr:uid="{00000000-0005-0000-0000-00002E020000}"/>
    <cellStyle name="tekst-levo" xfId="371" xr:uid="{00000000-0005-0000-0000-00002F020000}"/>
    <cellStyle name="tekst-levo 2" xfId="372" xr:uid="{00000000-0005-0000-0000-000030020000}"/>
    <cellStyle name="Title" xfId="373" xr:uid="{00000000-0005-0000-0000-000031020000}"/>
    <cellStyle name="Total" xfId="374" xr:uid="{00000000-0005-0000-0000-000032020000}"/>
    <cellStyle name="Total 1_Predracun kanal" xfId="375" xr:uid="{00000000-0005-0000-0000-000033020000}"/>
    <cellStyle name="Valuta 2 2" xfId="376" xr:uid="{00000000-0005-0000-0000-000034020000}"/>
    <cellStyle name="Vejica" xfId="981" builtinId="3"/>
    <cellStyle name="Vejica 2" xfId="377" xr:uid="{00000000-0005-0000-0000-000035020000}"/>
    <cellStyle name="Vejica 2 2" xfId="378" xr:uid="{00000000-0005-0000-0000-000036020000}"/>
    <cellStyle name="Vejica 2 2 2" xfId="379" xr:uid="{00000000-0005-0000-0000-000037020000}"/>
    <cellStyle name="Vejica 2 2 2 2" xfId="977" xr:uid="{00000000-0005-0000-0000-000038020000}"/>
    <cellStyle name="Vejica 2 2 2 2 2" xfId="994" xr:uid="{00000000-0005-0000-0000-000039020000}"/>
    <cellStyle name="Vejica 2 2 2 3" xfId="992" xr:uid="{00000000-0005-0000-0000-00003A020000}"/>
    <cellStyle name="Vejica 2 2 3" xfId="976" xr:uid="{00000000-0005-0000-0000-00003B020000}"/>
    <cellStyle name="Vejica 2 2 3 2" xfId="993" xr:uid="{00000000-0005-0000-0000-00003C020000}"/>
    <cellStyle name="Vejica 2 2 4" xfId="991" xr:uid="{00000000-0005-0000-0000-00003D020000}"/>
    <cellStyle name="Vejica 31" xfId="380" xr:uid="{00000000-0005-0000-0000-00003E020000}"/>
    <cellStyle name="Vejica 5 10" xfId="381" xr:uid="{00000000-0005-0000-0000-00003F020000}"/>
    <cellStyle name="Vejica 5 10 2" xfId="382" xr:uid="{00000000-0005-0000-0000-000040020000}"/>
    <cellStyle name="Vejica 5 10 3" xfId="383" xr:uid="{00000000-0005-0000-0000-000041020000}"/>
    <cellStyle name="Vejica 5 10 4" xfId="384" xr:uid="{00000000-0005-0000-0000-000042020000}"/>
    <cellStyle name="Vejica 5 10 5" xfId="385" xr:uid="{00000000-0005-0000-0000-000043020000}"/>
    <cellStyle name="Vejica 5 11" xfId="386" xr:uid="{00000000-0005-0000-0000-000044020000}"/>
    <cellStyle name="Vejica 5 11 2" xfId="387" xr:uid="{00000000-0005-0000-0000-000045020000}"/>
    <cellStyle name="Vejica 5 11 3" xfId="388" xr:uid="{00000000-0005-0000-0000-000046020000}"/>
    <cellStyle name="Vejica 5 11 4" xfId="389" xr:uid="{00000000-0005-0000-0000-000047020000}"/>
    <cellStyle name="Vejica 5 11 5" xfId="390" xr:uid="{00000000-0005-0000-0000-000048020000}"/>
    <cellStyle name="Vejica 5 12" xfId="391" xr:uid="{00000000-0005-0000-0000-000049020000}"/>
    <cellStyle name="Vejica 5 12 2" xfId="392" xr:uid="{00000000-0005-0000-0000-00004A020000}"/>
    <cellStyle name="Vejica 5 12 3" xfId="393" xr:uid="{00000000-0005-0000-0000-00004B020000}"/>
    <cellStyle name="Vejica 5 12 4" xfId="394" xr:uid="{00000000-0005-0000-0000-00004C020000}"/>
    <cellStyle name="Vejica 5 12 5" xfId="395" xr:uid="{00000000-0005-0000-0000-00004D020000}"/>
    <cellStyle name="Vejica 5 13" xfId="396" xr:uid="{00000000-0005-0000-0000-00004E020000}"/>
    <cellStyle name="Vejica 5 13 2" xfId="397" xr:uid="{00000000-0005-0000-0000-00004F020000}"/>
    <cellStyle name="Vejica 5 13 3" xfId="398" xr:uid="{00000000-0005-0000-0000-000050020000}"/>
    <cellStyle name="Vejica 5 13 4" xfId="399" xr:uid="{00000000-0005-0000-0000-000051020000}"/>
    <cellStyle name="Vejica 5 13 5" xfId="400" xr:uid="{00000000-0005-0000-0000-000052020000}"/>
    <cellStyle name="Vejica 5 14" xfId="401" xr:uid="{00000000-0005-0000-0000-000053020000}"/>
    <cellStyle name="Vejica 5 14 2" xfId="402" xr:uid="{00000000-0005-0000-0000-000054020000}"/>
    <cellStyle name="Vejica 5 14 3" xfId="403" xr:uid="{00000000-0005-0000-0000-000055020000}"/>
    <cellStyle name="Vejica 5 14 4" xfId="404" xr:uid="{00000000-0005-0000-0000-000056020000}"/>
    <cellStyle name="Vejica 5 14 5" xfId="405" xr:uid="{00000000-0005-0000-0000-000057020000}"/>
    <cellStyle name="Vejica 5 15" xfId="406" xr:uid="{00000000-0005-0000-0000-000058020000}"/>
    <cellStyle name="Vejica 5 15 2" xfId="407" xr:uid="{00000000-0005-0000-0000-000059020000}"/>
    <cellStyle name="Vejica 5 15 3" xfId="408" xr:uid="{00000000-0005-0000-0000-00005A020000}"/>
    <cellStyle name="Vejica 5 15 4" xfId="409" xr:uid="{00000000-0005-0000-0000-00005B020000}"/>
    <cellStyle name="Vejica 5 15 5" xfId="410" xr:uid="{00000000-0005-0000-0000-00005C020000}"/>
    <cellStyle name="Vejica 5 16" xfId="411" xr:uid="{00000000-0005-0000-0000-00005D020000}"/>
    <cellStyle name="Vejica 5 16 2" xfId="412" xr:uid="{00000000-0005-0000-0000-00005E020000}"/>
    <cellStyle name="Vejica 5 16 3" xfId="413" xr:uid="{00000000-0005-0000-0000-00005F020000}"/>
    <cellStyle name="Vejica 5 16 4" xfId="414" xr:uid="{00000000-0005-0000-0000-000060020000}"/>
    <cellStyle name="Vejica 5 16 5" xfId="415" xr:uid="{00000000-0005-0000-0000-000061020000}"/>
    <cellStyle name="Vejica 5 17" xfId="416" xr:uid="{00000000-0005-0000-0000-000062020000}"/>
    <cellStyle name="Vejica 5 17 2" xfId="417" xr:uid="{00000000-0005-0000-0000-000063020000}"/>
    <cellStyle name="Vejica 5 17 3" xfId="418" xr:uid="{00000000-0005-0000-0000-000064020000}"/>
    <cellStyle name="Vejica 5 17 4" xfId="419" xr:uid="{00000000-0005-0000-0000-000065020000}"/>
    <cellStyle name="Vejica 5 17 5" xfId="420" xr:uid="{00000000-0005-0000-0000-000066020000}"/>
    <cellStyle name="Vejica 5 18" xfId="421" xr:uid="{00000000-0005-0000-0000-000067020000}"/>
    <cellStyle name="Vejica 5 18 2" xfId="422" xr:uid="{00000000-0005-0000-0000-000068020000}"/>
    <cellStyle name="Vejica 5 18 3" xfId="423" xr:uid="{00000000-0005-0000-0000-000069020000}"/>
    <cellStyle name="Vejica 5 18 4" xfId="424" xr:uid="{00000000-0005-0000-0000-00006A020000}"/>
    <cellStyle name="Vejica 5 18 5" xfId="425" xr:uid="{00000000-0005-0000-0000-00006B020000}"/>
    <cellStyle name="Vejica 5 19" xfId="426" xr:uid="{00000000-0005-0000-0000-00006C020000}"/>
    <cellStyle name="Vejica 5 19 2" xfId="427" xr:uid="{00000000-0005-0000-0000-00006D020000}"/>
    <cellStyle name="Vejica 5 19 3" xfId="428" xr:uid="{00000000-0005-0000-0000-00006E020000}"/>
    <cellStyle name="Vejica 5 19 4" xfId="429" xr:uid="{00000000-0005-0000-0000-00006F020000}"/>
    <cellStyle name="Vejica 5 19 5" xfId="430" xr:uid="{00000000-0005-0000-0000-000070020000}"/>
    <cellStyle name="Vejica 5 2" xfId="431" xr:uid="{00000000-0005-0000-0000-000071020000}"/>
    <cellStyle name="Vejica 5 2 2" xfId="432" xr:uid="{00000000-0005-0000-0000-000072020000}"/>
    <cellStyle name="Vejica 5 2 3" xfId="433" xr:uid="{00000000-0005-0000-0000-000073020000}"/>
    <cellStyle name="Vejica 5 2 4" xfId="434" xr:uid="{00000000-0005-0000-0000-000074020000}"/>
    <cellStyle name="Vejica 5 2 5" xfId="435" xr:uid="{00000000-0005-0000-0000-000075020000}"/>
    <cellStyle name="Vejica 5 20" xfId="436" xr:uid="{00000000-0005-0000-0000-000076020000}"/>
    <cellStyle name="Vejica 5 20 2" xfId="437" xr:uid="{00000000-0005-0000-0000-000077020000}"/>
    <cellStyle name="Vejica 5 20 3" xfId="438" xr:uid="{00000000-0005-0000-0000-000078020000}"/>
    <cellStyle name="Vejica 5 20 4" xfId="439" xr:uid="{00000000-0005-0000-0000-000079020000}"/>
    <cellStyle name="Vejica 5 20 5" xfId="440" xr:uid="{00000000-0005-0000-0000-00007A020000}"/>
    <cellStyle name="Vejica 5 21" xfId="441" xr:uid="{00000000-0005-0000-0000-00007B020000}"/>
    <cellStyle name="Vejica 5 21 2" xfId="442" xr:uid="{00000000-0005-0000-0000-00007C020000}"/>
    <cellStyle name="Vejica 5 21 3" xfId="443" xr:uid="{00000000-0005-0000-0000-00007D020000}"/>
    <cellStyle name="Vejica 5 21 4" xfId="444" xr:uid="{00000000-0005-0000-0000-00007E020000}"/>
    <cellStyle name="Vejica 5 21 5" xfId="445" xr:uid="{00000000-0005-0000-0000-00007F020000}"/>
    <cellStyle name="Vejica 5 22" xfId="446" xr:uid="{00000000-0005-0000-0000-000080020000}"/>
    <cellStyle name="Vejica 5 22 2" xfId="447" xr:uid="{00000000-0005-0000-0000-000081020000}"/>
    <cellStyle name="Vejica 5 22 3" xfId="448" xr:uid="{00000000-0005-0000-0000-000082020000}"/>
    <cellStyle name="Vejica 5 22 4" xfId="449" xr:uid="{00000000-0005-0000-0000-000083020000}"/>
    <cellStyle name="Vejica 5 22 5" xfId="450" xr:uid="{00000000-0005-0000-0000-000084020000}"/>
    <cellStyle name="Vejica 5 23" xfId="451" xr:uid="{00000000-0005-0000-0000-000085020000}"/>
    <cellStyle name="Vejica 5 23 2" xfId="452" xr:uid="{00000000-0005-0000-0000-000086020000}"/>
    <cellStyle name="Vejica 5 23 3" xfId="453" xr:uid="{00000000-0005-0000-0000-000087020000}"/>
    <cellStyle name="Vejica 5 23 4" xfId="454" xr:uid="{00000000-0005-0000-0000-000088020000}"/>
    <cellStyle name="Vejica 5 23 5" xfId="455" xr:uid="{00000000-0005-0000-0000-000089020000}"/>
    <cellStyle name="Vejica 5 24" xfId="456" xr:uid="{00000000-0005-0000-0000-00008A020000}"/>
    <cellStyle name="Vejica 5 24 2" xfId="457" xr:uid="{00000000-0005-0000-0000-00008B020000}"/>
    <cellStyle name="Vejica 5 24 3" xfId="458" xr:uid="{00000000-0005-0000-0000-00008C020000}"/>
    <cellStyle name="Vejica 5 24 4" xfId="459" xr:uid="{00000000-0005-0000-0000-00008D020000}"/>
    <cellStyle name="Vejica 5 24 5" xfId="460" xr:uid="{00000000-0005-0000-0000-00008E020000}"/>
    <cellStyle name="Vejica 5 25" xfId="461" xr:uid="{00000000-0005-0000-0000-00008F020000}"/>
    <cellStyle name="Vejica 5 25 2" xfId="462" xr:uid="{00000000-0005-0000-0000-000090020000}"/>
    <cellStyle name="Vejica 5 25 3" xfId="463" xr:uid="{00000000-0005-0000-0000-000091020000}"/>
    <cellStyle name="Vejica 5 25 4" xfId="464" xr:uid="{00000000-0005-0000-0000-000092020000}"/>
    <cellStyle name="Vejica 5 25 5" xfId="465" xr:uid="{00000000-0005-0000-0000-000093020000}"/>
    <cellStyle name="Vejica 5 26" xfId="466" xr:uid="{00000000-0005-0000-0000-000094020000}"/>
    <cellStyle name="Vejica 5 26 2" xfId="467" xr:uid="{00000000-0005-0000-0000-000095020000}"/>
    <cellStyle name="Vejica 5 26 3" xfId="468" xr:uid="{00000000-0005-0000-0000-000096020000}"/>
    <cellStyle name="Vejica 5 26 4" xfId="469" xr:uid="{00000000-0005-0000-0000-000097020000}"/>
    <cellStyle name="Vejica 5 26 5" xfId="470" xr:uid="{00000000-0005-0000-0000-000098020000}"/>
    <cellStyle name="Vejica 5 27" xfId="471" xr:uid="{00000000-0005-0000-0000-000099020000}"/>
    <cellStyle name="Vejica 5 27 2" xfId="472" xr:uid="{00000000-0005-0000-0000-00009A020000}"/>
    <cellStyle name="Vejica 5 27 3" xfId="473" xr:uid="{00000000-0005-0000-0000-00009B020000}"/>
    <cellStyle name="Vejica 5 27 4" xfId="474" xr:uid="{00000000-0005-0000-0000-00009C020000}"/>
    <cellStyle name="Vejica 5 27 5" xfId="475" xr:uid="{00000000-0005-0000-0000-00009D020000}"/>
    <cellStyle name="Vejica 5 28" xfId="476" xr:uid="{00000000-0005-0000-0000-00009E020000}"/>
    <cellStyle name="Vejica 5 28 2" xfId="477" xr:uid="{00000000-0005-0000-0000-00009F020000}"/>
    <cellStyle name="Vejica 5 28 3" xfId="478" xr:uid="{00000000-0005-0000-0000-0000A0020000}"/>
    <cellStyle name="Vejica 5 28 4" xfId="479" xr:uid="{00000000-0005-0000-0000-0000A1020000}"/>
    <cellStyle name="Vejica 5 28 5" xfId="480" xr:uid="{00000000-0005-0000-0000-0000A2020000}"/>
    <cellStyle name="Vejica 5 29" xfId="481" xr:uid="{00000000-0005-0000-0000-0000A3020000}"/>
    <cellStyle name="Vejica 5 29 2" xfId="482" xr:uid="{00000000-0005-0000-0000-0000A4020000}"/>
    <cellStyle name="Vejica 5 29 3" xfId="483" xr:uid="{00000000-0005-0000-0000-0000A5020000}"/>
    <cellStyle name="Vejica 5 29 4" xfId="484" xr:uid="{00000000-0005-0000-0000-0000A6020000}"/>
    <cellStyle name="Vejica 5 29 5" xfId="485" xr:uid="{00000000-0005-0000-0000-0000A7020000}"/>
    <cellStyle name="Vejica 5 3" xfId="486" xr:uid="{00000000-0005-0000-0000-0000A8020000}"/>
    <cellStyle name="Vejica 5 3 2" xfId="487" xr:uid="{00000000-0005-0000-0000-0000A9020000}"/>
    <cellStyle name="Vejica 5 3 3" xfId="488" xr:uid="{00000000-0005-0000-0000-0000AA020000}"/>
    <cellStyle name="Vejica 5 3 4" xfId="489" xr:uid="{00000000-0005-0000-0000-0000AB020000}"/>
    <cellStyle name="Vejica 5 3 5" xfId="490" xr:uid="{00000000-0005-0000-0000-0000AC020000}"/>
    <cellStyle name="Vejica 5 30" xfId="491" xr:uid="{00000000-0005-0000-0000-0000AD020000}"/>
    <cellStyle name="Vejica 5 30 2" xfId="492" xr:uid="{00000000-0005-0000-0000-0000AE020000}"/>
    <cellStyle name="Vejica 5 30 3" xfId="493" xr:uid="{00000000-0005-0000-0000-0000AF020000}"/>
    <cellStyle name="Vejica 5 30 4" xfId="494" xr:uid="{00000000-0005-0000-0000-0000B0020000}"/>
    <cellStyle name="Vejica 5 30 5" xfId="495" xr:uid="{00000000-0005-0000-0000-0000B1020000}"/>
    <cellStyle name="Vejica 5 31" xfId="496" xr:uid="{00000000-0005-0000-0000-0000B2020000}"/>
    <cellStyle name="Vejica 5 31 2" xfId="497" xr:uid="{00000000-0005-0000-0000-0000B3020000}"/>
    <cellStyle name="Vejica 5 31 3" xfId="498" xr:uid="{00000000-0005-0000-0000-0000B4020000}"/>
    <cellStyle name="Vejica 5 31 4" xfId="499" xr:uid="{00000000-0005-0000-0000-0000B5020000}"/>
    <cellStyle name="Vejica 5 31 5" xfId="500" xr:uid="{00000000-0005-0000-0000-0000B6020000}"/>
    <cellStyle name="Vejica 5 32" xfId="501" xr:uid="{00000000-0005-0000-0000-0000B7020000}"/>
    <cellStyle name="Vejica 5 32 2" xfId="502" xr:uid="{00000000-0005-0000-0000-0000B8020000}"/>
    <cellStyle name="Vejica 5 32 3" xfId="503" xr:uid="{00000000-0005-0000-0000-0000B9020000}"/>
    <cellStyle name="Vejica 5 32 4" xfId="504" xr:uid="{00000000-0005-0000-0000-0000BA020000}"/>
    <cellStyle name="Vejica 5 32 5" xfId="505" xr:uid="{00000000-0005-0000-0000-0000BB020000}"/>
    <cellStyle name="Vejica 5 33" xfId="506" xr:uid="{00000000-0005-0000-0000-0000BC020000}"/>
    <cellStyle name="Vejica 5 33 2" xfId="507" xr:uid="{00000000-0005-0000-0000-0000BD020000}"/>
    <cellStyle name="Vejica 5 33 3" xfId="508" xr:uid="{00000000-0005-0000-0000-0000BE020000}"/>
    <cellStyle name="Vejica 5 33 4" xfId="509" xr:uid="{00000000-0005-0000-0000-0000BF020000}"/>
    <cellStyle name="Vejica 5 33 5" xfId="510" xr:uid="{00000000-0005-0000-0000-0000C0020000}"/>
    <cellStyle name="Vejica 5 34" xfId="511" xr:uid="{00000000-0005-0000-0000-0000C1020000}"/>
    <cellStyle name="Vejica 5 34 2" xfId="512" xr:uid="{00000000-0005-0000-0000-0000C2020000}"/>
    <cellStyle name="Vejica 5 34 3" xfId="513" xr:uid="{00000000-0005-0000-0000-0000C3020000}"/>
    <cellStyle name="Vejica 5 34 4" xfId="514" xr:uid="{00000000-0005-0000-0000-0000C4020000}"/>
    <cellStyle name="Vejica 5 34 5" xfId="515" xr:uid="{00000000-0005-0000-0000-0000C5020000}"/>
    <cellStyle name="Vejica 5 35" xfId="516" xr:uid="{00000000-0005-0000-0000-0000C6020000}"/>
    <cellStyle name="Vejica 5 35 2" xfId="517" xr:uid="{00000000-0005-0000-0000-0000C7020000}"/>
    <cellStyle name="Vejica 5 35 3" xfId="518" xr:uid="{00000000-0005-0000-0000-0000C8020000}"/>
    <cellStyle name="Vejica 5 35 4" xfId="519" xr:uid="{00000000-0005-0000-0000-0000C9020000}"/>
    <cellStyle name="Vejica 5 35 5" xfId="520" xr:uid="{00000000-0005-0000-0000-0000CA020000}"/>
    <cellStyle name="Vejica 5 36" xfId="521" xr:uid="{00000000-0005-0000-0000-0000CB020000}"/>
    <cellStyle name="Vejica 5 36 2" xfId="522" xr:uid="{00000000-0005-0000-0000-0000CC020000}"/>
    <cellStyle name="Vejica 5 36 3" xfId="523" xr:uid="{00000000-0005-0000-0000-0000CD020000}"/>
    <cellStyle name="Vejica 5 36 4" xfId="524" xr:uid="{00000000-0005-0000-0000-0000CE020000}"/>
    <cellStyle name="Vejica 5 36 5" xfId="525" xr:uid="{00000000-0005-0000-0000-0000CF020000}"/>
    <cellStyle name="Vejica 5 37" xfId="526" xr:uid="{00000000-0005-0000-0000-0000D0020000}"/>
    <cellStyle name="Vejica 5 37 2" xfId="527" xr:uid="{00000000-0005-0000-0000-0000D1020000}"/>
    <cellStyle name="Vejica 5 37 3" xfId="528" xr:uid="{00000000-0005-0000-0000-0000D2020000}"/>
    <cellStyle name="Vejica 5 37 4" xfId="529" xr:uid="{00000000-0005-0000-0000-0000D3020000}"/>
    <cellStyle name="Vejica 5 37 5" xfId="530" xr:uid="{00000000-0005-0000-0000-0000D4020000}"/>
    <cellStyle name="Vejica 5 38" xfId="531" xr:uid="{00000000-0005-0000-0000-0000D5020000}"/>
    <cellStyle name="Vejica 5 38 2" xfId="532" xr:uid="{00000000-0005-0000-0000-0000D6020000}"/>
    <cellStyle name="Vejica 5 38 3" xfId="533" xr:uid="{00000000-0005-0000-0000-0000D7020000}"/>
    <cellStyle name="Vejica 5 38 4" xfId="534" xr:uid="{00000000-0005-0000-0000-0000D8020000}"/>
    <cellStyle name="Vejica 5 38 5" xfId="535" xr:uid="{00000000-0005-0000-0000-0000D9020000}"/>
    <cellStyle name="Vejica 5 39" xfId="536" xr:uid="{00000000-0005-0000-0000-0000DA020000}"/>
    <cellStyle name="Vejica 5 39 2" xfId="537" xr:uid="{00000000-0005-0000-0000-0000DB020000}"/>
    <cellStyle name="Vejica 5 39 3" xfId="538" xr:uid="{00000000-0005-0000-0000-0000DC020000}"/>
    <cellStyle name="Vejica 5 39 4" xfId="539" xr:uid="{00000000-0005-0000-0000-0000DD020000}"/>
    <cellStyle name="Vejica 5 39 5" xfId="540" xr:uid="{00000000-0005-0000-0000-0000DE020000}"/>
    <cellStyle name="Vejica 5 4" xfId="541" xr:uid="{00000000-0005-0000-0000-0000DF020000}"/>
    <cellStyle name="Vejica 5 4 2" xfId="542" xr:uid="{00000000-0005-0000-0000-0000E0020000}"/>
    <cellStyle name="Vejica 5 4 3" xfId="543" xr:uid="{00000000-0005-0000-0000-0000E1020000}"/>
    <cellStyle name="Vejica 5 4 4" xfId="544" xr:uid="{00000000-0005-0000-0000-0000E2020000}"/>
    <cellStyle name="Vejica 5 4 5" xfId="545" xr:uid="{00000000-0005-0000-0000-0000E3020000}"/>
    <cellStyle name="Vejica 5 40" xfId="546" xr:uid="{00000000-0005-0000-0000-0000E4020000}"/>
    <cellStyle name="Vejica 5 40 2" xfId="547" xr:uid="{00000000-0005-0000-0000-0000E5020000}"/>
    <cellStyle name="Vejica 5 40 3" xfId="548" xr:uid="{00000000-0005-0000-0000-0000E6020000}"/>
    <cellStyle name="Vejica 5 40 4" xfId="549" xr:uid="{00000000-0005-0000-0000-0000E7020000}"/>
    <cellStyle name="Vejica 5 40 5" xfId="550" xr:uid="{00000000-0005-0000-0000-0000E8020000}"/>
    <cellStyle name="Vejica 5 41" xfId="551" xr:uid="{00000000-0005-0000-0000-0000E9020000}"/>
    <cellStyle name="Vejica 5 41 2" xfId="552" xr:uid="{00000000-0005-0000-0000-0000EA020000}"/>
    <cellStyle name="Vejica 5 41 3" xfId="553" xr:uid="{00000000-0005-0000-0000-0000EB020000}"/>
    <cellStyle name="Vejica 5 41 4" xfId="554" xr:uid="{00000000-0005-0000-0000-0000EC020000}"/>
    <cellStyle name="Vejica 5 41 5" xfId="555" xr:uid="{00000000-0005-0000-0000-0000ED020000}"/>
    <cellStyle name="Vejica 5 42" xfId="556" xr:uid="{00000000-0005-0000-0000-0000EE020000}"/>
    <cellStyle name="Vejica 5 42 2" xfId="557" xr:uid="{00000000-0005-0000-0000-0000EF020000}"/>
    <cellStyle name="Vejica 5 42 3" xfId="558" xr:uid="{00000000-0005-0000-0000-0000F0020000}"/>
    <cellStyle name="Vejica 5 42 4" xfId="559" xr:uid="{00000000-0005-0000-0000-0000F1020000}"/>
    <cellStyle name="Vejica 5 42 5" xfId="560" xr:uid="{00000000-0005-0000-0000-0000F2020000}"/>
    <cellStyle name="Vejica 5 43" xfId="561" xr:uid="{00000000-0005-0000-0000-0000F3020000}"/>
    <cellStyle name="Vejica 5 43 2" xfId="562" xr:uid="{00000000-0005-0000-0000-0000F4020000}"/>
    <cellStyle name="Vejica 5 43 3" xfId="563" xr:uid="{00000000-0005-0000-0000-0000F5020000}"/>
    <cellStyle name="Vejica 5 43 4" xfId="564" xr:uid="{00000000-0005-0000-0000-0000F6020000}"/>
    <cellStyle name="Vejica 5 43 5" xfId="565" xr:uid="{00000000-0005-0000-0000-0000F7020000}"/>
    <cellStyle name="Vejica 5 44" xfId="566" xr:uid="{00000000-0005-0000-0000-0000F8020000}"/>
    <cellStyle name="Vejica 5 44 2" xfId="567" xr:uid="{00000000-0005-0000-0000-0000F9020000}"/>
    <cellStyle name="Vejica 5 44 3" xfId="568" xr:uid="{00000000-0005-0000-0000-0000FA020000}"/>
    <cellStyle name="Vejica 5 44 4" xfId="569" xr:uid="{00000000-0005-0000-0000-0000FB020000}"/>
    <cellStyle name="Vejica 5 44 5" xfId="570" xr:uid="{00000000-0005-0000-0000-0000FC020000}"/>
    <cellStyle name="Vejica 5 45" xfId="571" xr:uid="{00000000-0005-0000-0000-0000FD020000}"/>
    <cellStyle name="Vejica 5 45 2" xfId="572" xr:uid="{00000000-0005-0000-0000-0000FE020000}"/>
    <cellStyle name="Vejica 5 45 3" xfId="573" xr:uid="{00000000-0005-0000-0000-0000FF020000}"/>
    <cellStyle name="Vejica 5 45 4" xfId="574" xr:uid="{00000000-0005-0000-0000-000000030000}"/>
    <cellStyle name="Vejica 5 45 5" xfId="575" xr:uid="{00000000-0005-0000-0000-000001030000}"/>
    <cellStyle name="Vejica 5 46" xfId="576" xr:uid="{00000000-0005-0000-0000-000002030000}"/>
    <cellStyle name="Vejica 5 46 2" xfId="577" xr:uid="{00000000-0005-0000-0000-000003030000}"/>
    <cellStyle name="Vejica 5 46 3" xfId="578" xr:uid="{00000000-0005-0000-0000-000004030000}"/>
    <cellStyle name="Vejica 5 46 4" xfId="579" xr:uid="{00000000-0005-0000-0000-000005030000}"/>
    <cellStyle name="Vejica 5 46 5" xfId="580" xr:uid="{00000000-0005-0000-0000-000006030000}"/>
    <cellStyle name="Vejica 5 47" xfId="581" xr:uid="{00000000-0005-0000-0000-000007030000}"/>
    <cellStyle name="Vejica 5 47 2" xfId="582" xr:uid="{00000000-0005-0000-0000-000008030000}"/>
    <cellStyle name="Vejica 5 47 3" xfId="583" xr:uid="{00000000-0005-0000-0000-000009030000}"/>
    <cellStyle name="Vejica 5 47 4" xfId="584" xr:uid="{00000000-0005-0000-0000-00000A030000}"/>
    <cellStyle name="Vejica 5 47 5" xfId="585" xr:uid="{00000000-0005-0000-0000-00000B030000}"/>
    <cellStyle name="Vejica 5 48" xfId="586" xr:uid="{00000000-0005-0000-0000-00000C030000}"/>
    <cellStyle name="Vejica 5 48 2" xfId="587" xr:uid="{00000000-0005-0000-0000-00000D030000}"/>
    <cellStyle name="Vejica 5 48 3" xfId="588" xr:uid="{00000000-0005-0000-0000-00000E030000}"/>
    <cellStyle name="Vejica 5 48 4" xfId="589" xr:uid="{00000000-0005-0000-0000-00000F030000}"/>
    <cellStyle name="Vejica 5 48 5" xfId="590" xr:uid="{00000000-0005-0000-0000-000010030000}"/>
    <cellStyle name="Vejica 5 49" xfId="591" xr:uid="{00000000-0005-0000-0000-000011030000}"/>
    <cellStyle name="Vejica 5 49 2" xfId="592" xr:uid="{00000000-0005-0000-0000-000012030000}"/>
    <cellStyle name="Vejica 5 49 3" xfId="593" xr:uid="{00000000-0005-0000-0000-000013030000}"/>
    <cellStyle name="Vejica 5 49 4" xfId="594" xr:uid="{00000000-0005-0000-0000-000014030000}"/>
    <cellStyle name="Vejica 5 49 5" xfId="595" xr:uid="{00000000-0005-0000-0000-000015030000}"/>
    <cellStyle name="Vejica 5 5" xfId="596" xr:uid="{00000000-0005-0000-0000-000016030000}"/>
    <cellStyle name="Vejica 5 5 2" xfId="597" xr:uid="{00000000-0005-0000-0000-000017030000}"/>
    <cellStyle name="Vejica 5 5 3" xfId="598" xr:uid="{00000000-0005-0000-0000-000018030000}"/>
    <cellStyle name="Vejica 5 5 4" xfId="599" xr:uid="{00000000-0005-0000-0000-000019030000}"/>
    <cellStyle name="Vejica 5 5 5" xfId="600" xr:uid="{00000000-0005-0000-0000-00001A030000}"/>
    <cellStyle name="Vejica 5 50" xfId="601" xr:uid="{00000000-0005-0000-0000-00001B030000}"/>
    <cellStyle name="Vejica 5 50 2" xfId="602" xr:uid="{00000000-0005-0000-0000-00001C030000}"/>
    <cellStyle name="Vejica 5 50 3" xfId="603" xr:uid="{00000000-0005-0000-0000-00001D030000}"/>
    <cellStyle name="Vejica 5 50 4" xfId="604" xr:uid="{00000000-0005-0000-0000-00001E030000}"/>
    <cellStyle name="Vejica 5 50 5" xfId="605" xr:uid="{00000000-0005-0000-0000-00001F030000}"/>
    <cellStyle name="Vejica 5 51" xfId="606" xr:uid="{00000000-0005-0000-0000-000020030000}"/>
    <cellStyle name="Vejica 5 51 2" xfId="607" xr:uid="{00000000-0005-0000-0000-000021030000}"/>
    <cellStyle name="Vejica 5 51 3" xfId="608" xr:uid="{00000000-0005-0000-0000-000022030000}"/>
    <cellStyle name="Vejica 5 51 4" xfId="609" xr:uid="{00000000-0005-0000-0000-000023030000}"/>
    <cellStyle name="Vejica 5 51 5" xfId="610" xr:uid="{00000000-0005-0000-0000-000024030000}"/>
    <cellStyle name="Vejica 5 52" xfId="611" xr:uid="{00000000-0005-0000-0000-000025030000}"/>
    <cellStyle name="Vejica 5 52 2" xfId="612" xr:uid="{00000000-0005-0000-0000-000026030000}"/>
    <cellStyle name="Vejica 5 52 3" xfId="613" xr:uid="{00000000-0005-0000-0000-000027030000}"/>
    <cellStyle name="Vejica 5 52 4" xfId="614" xr:uid="{00000000-0005-0000-0000-000028030000}"/>
    <cellStyle name="Vejica 5 52 5" xfId="615" xr:uid="{00000000-0005-0000-0000-000029030000}"/>
    <cellStyle name="Vejica 5 53" xfId="616" xr:uid="{00000000-0005-0000-0000-00002A030000}"/>
    <cellStyle name="Vejica 5 53 2" xfId="617" xr:uid="{00000000-0005-0000-0000-00002B030000}"/>
    <cellStyle name="Vejica 5 53 3" xfId="618" xr:uid="{00000000-0005-0000-0000-00002C030000}"/>
    <cellStyle name="Vejica 5 53 4" xfId="619" xr:uid="{00000000-0005-0000-0000-00002D030000}"/>
    <cellStyle name="Vejica 5 53 5" xfId="620" xr:uid="{00000000-0005-0000-0000-00002E030000}"/>
    <cellStyle name="Vejica 5 54" xfId="621" xr:uid="{00000000-0005-0000-0000-00002F030000}"/>
    <cellStyle name="Vejica 5 54 2" xfId="622" xr:uid="{00000000-0005-0000-0000-000030030000}"/>
    <cellStyle name="Vejica 5 54 3" xfId="623" xr:uid="{00000000-0005-0000-0000-000031030000}"/>
    <cellStyle name="Vejica 5 54 4" xfId="624" xr:uid="{00000000-0005-0000-0000-000032030000}"/>
    <cellStyle name="Vejica 5 54 5" xfId="625" xr:uid="{00000000-0005-0000-0000-000033030000}"/>
    <cellStyle name="Vejica 5 55" xfId="626" xr:uid="{00000000-0005-0000-0000-000034030000}"/>
    <cellStyle name="Vejica 5 55 2" xfId="627" xr:uid="{00000000-0005-0000-0000-000035030000}"/>
    <cellStyle name="Vejica 5 55 3" xfId="628" xr:uid="{00000000-0005-0000-0000-000036030000}"/>
    <cellStyle name="Vejica 5 55 4" xfId="629" xr:uid="{00000000-0005-0000-0000-000037030000}"/>
    <cellStyle name="Vejica 5 55 5" xfId="630" xr:uid="{00000000-0005-0000-0000-000038030000}"/>
    <cellStyle name="Vejica 5 56" xfId="631" xr:uid="{00000000-0005-0000-0000-000039030000}"/>
    <cellStyle name="Vejica 5 56 2" xfId="632" xr:uid="{00000000-0005-0000-0000-00003A030000}"/>
    <cellStyle name="Vejica 5 56 3" xfId="633" xr:uid="{00000000-0005-0000-0000-00003B030000}"/>
    <cellStyle name="Vejica 5 56 4" xfId="634" xr:uid="{00000000-0005-0000-0000-00003C030000}"/>
    <cellStyle name="Vejica 5 56 5" xfId="635" xr:uid="{00000000-0005-0000-0000-00003D030000}"/>
    <cellStyle name="Vejica 5 57" xfId="636" xr:uid="{00000000-0005-0000-0000-00003E030000}"/>
    <cellStyle name="Vejica 5 57 2" xfId="637" xr:uid="{00000000-0005-0000-0000-00003F030000}"/>
    <cellStyle name="Vejica 5 57 3" xfId="638" xr:uid="{00000000-0005-0000-0000-000040030000}"/>
    <cellStyle name="Vejica 5 57 4" xfId="639" xr:uid="{00000000-0005-0000-0000-000041030000}"/>
    <cellStyle name="Vejica 5 57 5" xfId="640" xr:uid="{00000000-0005-0000-0000-000042030000}"/>
    <cellStyle name="Vejica 5 58" xfId="641" xr:uid="{00000000-0005-0000-0000-000043030000}"/>
    <cellStyle name="Vejica 5 58 2" xfId="642" xr:uid="{00000000-0005-0000-0000-000044030000}"/>
    <cellStyle name="Vejica 5 58 3" xfId="643" xr:uid="{00000000-0005-0000-0000-000045030000}"/>
    <cellStyle name="Vejica 5 58 4" xfId="644" xr:uid="{00000000-0005-0000-0000-000046030000}"/>
    <cellStyle name="Vejica 5 58 5" xfId="645" xr:uid="{00000000-0005-0000-0000-000047030000}"/>
    <cellStyle name="Vejica 5 59" xfId="646" xr:uid="{00000000-0005-0000-0000-000048030000}"/>
    <cellStyle name="Vejica 5 59 2" xfId="647" xr:uid="{00000000-0005-0000-0000-000049030000}"/>
    <cellStyle name="Vejica 5 59 3" xfId="648" xr:uid="{00000000-0005-0000-0000-00004A030000}"/>
    <cellStyle name="Vejica 5 59 4" xfId="649" xr:uid="{00000000-0005-0000-0000-00004B030000}"/>
    <cellStyle name="Vejica 5 59 5" xfId="650" xr:uid="{00000000-0005-0000-0000-00004C030000}"/>
    <cellStyle name="Vejica 5 6" xfId="651" xr:uid="{00000000-0005-0000-0000-00004D030000}"/>
    <cellStyle name="Vejica 5 6 2" xfId="652" xr:uid="{00000000-0005-0000-0000-00004E030000}"/>
    <cellStyle name="Vejica 5 6 3" xfId="653" xr:uid="{00000000-0005-0000-0000-00004F030000}"/>
    <cellStyle name="Vejica 5 6 4" xfId="654" xr:uid="{00000000-0005-0000-0000-000050030000}"/>
    <cellStyle name="Vejica 5 6 5" xfId="655" xr:uid="{00000000-0005-0000-0000-000051030000}"/>
    <cellStyle name="Vejica 5 60" xfId="656" xr:uid="{00000000-0005-0000-0000-000052030000}"/>
    <cellStyle name="Vejica 5 60 2" xfId="657" xr:uid="{00000000-0005-0000-0000-000053030000}"/>
    <cellStyle name="Vejica 5 60 3" xfId="658" xr:uid="{00000000-0005-0000-0000-000054030000}"/>
    <cellStyle name="Vejica 5 60 4" xfId="659" xr:uid="{00000000-0005-0000-0000-000055030000}"/>
    <cellStyle name="Vejica 5 60 5" xfId="660" xr:uid="{00000000-0005-0000-0000-000056030000}"/>
    <cellStyle name="Vejica 5 61" xfId="661" xr:uid="{00000000-0005-0000-0000-000057030000}"/>
    <cellStyle name="Vejica 5 61 2" xfId="662" xr:uid="{00000000-0005-0000-0000-000058030000}"/>
    <cellStyle name="Vejica 5 61 3" xfId="663" xr:uid="{00000000-0005-0000-0000-000059030000}"/>
    <cellStyle name="Vejica 5 61 4" xfId="664" xr:uid="{00000000-0005-0000-0000-00005A030000}"/>
    <cellStyle name="Vejica 5 61 5" xfId="665" xr:uid="{00000000-0005-0000-0000-00005B030000}"/>
    <cellStyle name="Vejica 5 62" xfId="666" xr:uid="{00000000-0005-0000-0000-00005C030000}"/>
    <cellStyle name="Vejica 5 62 2" xfId="667" xr:uid="{00000000-0005-0000-0000-00005D030000}"/>
    <cellStyle name="Vejica 5 62 3" xfId="668" xr:uid="{00000000-0005-0000-0000-00005E030000}"/>
    <cellStyle name="Vejica 5 62 4" xfId="669" xr:uid="{00000000-0005-0000-0000-00005F030000}"/>
    <cellStyle name="Vejica 5 62 5" xfId="670" xr:uid="{00000000-0005-0000-0000-000060030000}"/>
    <cellStyle name="Vejica 5 63" xfId="671" xr:uid="{00000000-0005-0000-0000-000061030000}"/>
    <cellStyle name="Vejica 5 63 2" xfId="672" xr:uid="{00000000-0005-0000-0000-000062030000}"/>
    <cellStyle name="Vejica 5 63 3" xfId="673" xr:uid="{00000000-0005-0000-0000-000063030000}"/>
    <cellStyle name="Vejica 5 63 4" xfId="674" xr:uid="{00000000-0005-0000-0000-000064030000}"/>
    <cellStyle name="Vejica 5 63 5" xfId="675" xr:uid="{00000000-0005-0000-0000-000065030000}"/>
    <cellStyle name="Vejica 5 64" xfId="676" xr:uid="{00000000-0005-0000-0000-000066030000}"/>
    <cellStyle name="Vejica 5 64 2" xfId="677" xr:uid="{00000000-0005-0000-0000-000067030000}"/>
    <cellStyle name="Vejica 5 64 3" xfId="678" xr:uid="{00000000-0005-0000-0000-000068030000}"/>
    <cellStyle name="Vejica 5 64 4" xfId="679" xr:uid="{00000000-0005-0000-0000-000069030000}"/>
    <cellStyle name="Vejica 5 64 5" xfId="680" xr:uid="{00000000-0005-0000-0000-00006A030000}"/>
    <cellStyle name="Vejica 5 65" xfId="681" xr:uid="{00000000-0005-0000-0000-00006B030000}"/>
    <cellStyle name="Vejica 5 65 2" xfId="682" xr:uid="{00000000-0005-0000-0000-00006C030000}"/>
    <cellStyle name="Vejica 5 65 3" xfId="683" xr:uid="{00000000-0005-0000-0000-00006D030000}"/>
    <cellStyle name="Vejica 5 65 4" xfId="684" xr:uid="{00000000-0005-0000-0000-00006E030000}"/>
    <cellStyle name="Vejica 5 65 5" xfId="685" xr:uid="{00000000-0005-0000-0000-00006F030000}"/>
    <cellStyle name="Vejica 5 66" xfId="686" xr:uid="{00000000-0005-0000-0000-000070030000}"/>
    <cellStyle name="Vejica 5 66 2" xfId="687" xr:uid="{00000000-0005-0000-0000-000071030000}"/>
    <cellStyle name="Vejica 5 66 3" xfId="688" xr:uid="{00000000-0005-0000-0000-000072030000}"/>
    <cellStyle name="Vejica 5 66 4" xfId="689" xr:uid="{00000000-0005-0000-0000-000073030000}"/>
    <cellStyle name="Vejica 5 66 5" xfId="690" xr:uid="{00000000-0005-0000-0000-000074030000}"/>
    <cellStyle name="Vejica 5 67" xfId="691" xr:uid="{00000000-0005-0000-0000-000075030000}"/>
    <cellStyle name="Vejica 5 67 2" xfId="692" xr:uid="{00000000-0005-0000-0000-000076030000}"/>
    <cellStyle name="Vejica 5 67 3" xfId="693" xr:uid="{00000000-0005-0000-0000-000077030000}"/>
    <cellStyle name="Vejica 5 67 4" xfId="694" xr:uid="{00000000-0005-0000-0000-000078030000}"/>
    <cellStyle name="Vejica 5 67 5" xfId="695" xr:uid="{00000000-0005-0000-0000-000079030000}"/>
    <cellStyle name="Vejica 5 68" xfId="696" xr:uid="{00000000-0005-0000-0000-00007A030000}"/>
    <cellStyle name="Vejica 5 68 2" xfId="697" xr:uid="{00000000-0005-0000-0000-00007B030000}"/>
    <cellStyle name="Vejica 5 68 3" xfId="698" xr:uid="{00000000-0005-0000-0000-00007C030000}"/>
    <cellStyle name="Vejica 5 68 4" xfId="699" xr:uid="{00000000-0005-0000-0000-00007D030000}"/>
    <cellStyle name="Vejica 5 68 5" xfId="700" xr:uid="{00000000-0005-0000-0000-00007E030000}"/>
    <cellStyle name="Vejica 5 69" xfId="701" xr:uid="{00000000-0005-0000-0000-00007F030000}"/>
    <cellStyle name="Vejica 5 69 2" xfId="702" xr:uid="{00000000-0005-0000-0000-000080030000}"/>
    <cellStyle name="Vejica 5 69 3" xfId="703" xr:uid="{00000000-0005-0000-0000-000081030000}"/>
    <cellStyle name="Vejica 5 69 4" xfId="704" xr:uid="{00000000-0005-0000-0000-000082030000}"/>
    <cellStyle name="Vejica 5 69 5" xfId="705" xr:uid="{00000000-0005-0000-0000-000083030000}"/>
    <cellStyle name="Vejica 5 7" xfId="706" xr:uid="{00000000-0005-0000-0000-000084030000}"/>
    <cellStyle name="Vejica 5 7 2" xfId="707" xr:uid="{00000000-0005-0000-0000-000085030000}"/>
    <cellStyle name="Vejica 5 7 3" xfId="708" xr:uid="{00000000-0005-0000-0000-000086030000}"/>
    <cellStyle name="Vejica 5 7 4" xfId="709" xr:uid="{00000000-0005-0000-0000-000087030000}"/>
    <cellStyle name="Vejica 5 7 5" xfId="710" xr:uid="{00000000-0005-0000-0000-000088030000}"/>
    <cellStyle name="Vejica 5 70" xfId="711" xr:uid="{00000000-0005-0000-0000-000089030000}"/>
    <cellStyle name="Vejica 5 70 2" xfId="712" xr:uid="{00000000-0005-0000-0000-00008A030000}"/>
    <cellStyle name="Vejica 5 70 3" xfId="713" xr:uid="{00000000-0005-0000-0000-00008B030000}"/>
    <cellStyle name="Vejica 5 70 4" xfId="714" xr:uid="{00000000-0005-0000-0000-00008C030000}"/>
    <cellStyle name="Vejica 5 70 5" xfId="715" xr:uid="{00000000-0005-0000-0000-00008D030000}"/>
    <cellStyle name="Vejica 5 71" xfId="716" xr:uid="{00000000-0005-0000-0000-00008E030000}"/>
    <cellStyle name="Vejica 5 71 2" xfId="717" xr:uid="{00000000-0005-0000-0000-00008F030000}"/>
    <cellStyle name="Vejica 5 71 3" xfId="718" xr:uid="{00000000-0005-0000-0000-000090030000}"/>
    <cellStyle name="Vejica 5 71 4" xfId="719" xr:uid="{00000000-0005-0000-0000-000091030000}"/>
    <cellStyle name="Vejica 5 71 5" xfId="720" xr:uid="{00000000-0005-0000-0000-000092030000}"/>
    <cellStyle name="Vejica 5 72" xfId="721" xr:uid="{00000000-0005-0000-0000-000093030000}"/>
    <cellStyle name="Vejica 5 72 2" xfId="722" xr:uid="{00000000-0005-0000-0000-000094030000}"/>
    <cellStyle name="Vejica 5 72 3" xfId="723" xr:uid="{00000000-0005-0000-0000-000095030000}"/>
    <cellStyle name="Vejica 5 72 4" xfId="724" xr:uid="{00000000-0005-0000-0000-000096030000}"/>
    <cellStyle name="Vejica 5 72 5" xfId="725" xr:uid="{00000000-0005-0000-0000-000097030000}"/>
    <cellStyle name="Vejica 5 73" xfId="726" xr:uid="{00000000-0005-0000-0000-000098030000}"/>
    <cellStyle name="Vejica 5 73 2" xfId="727" xr:uid="{00000000-0005-0000-0000-000099030000}"/>
    <cellStyle name="Vejica 5 73 3" xfId="728" xr:uid="{00000000-0005-0000-0000-00009A030000}"/>
    <cellStyle name="Vejica 5 73 4" xfId="729" xr:uid="{00000000-0005-0000-0000-00009B030000}"/>
    <cellStyle name="Vejica 5 73 5" xfId="730" xr:uid="{00000000-0005-0000-0000-00009C030000}"/>
    <cellStyle name="Vejica 5 74" xfId="731" xr:uid="{00000000-0005-0000-0000-00009D030000}"/>
    <cellStyle name="Vejica 5 74 2" xfId="732" xr:uid="{00000000-0005-0000-0000-00009E030000}"/>
    <cellStyle name="Vejica 5 74 3" xfId="733" xr:uid="{00000000-0005-0000-0000-00009F030000}"/>
    <cellStyle name="Vejica 5 74 4" xfId="734" xr:uid="{00000000-0005-0000-0000-0000A0030000}"/>
    <cellStyle name="Vejica 5 74 5" xfId="735" xr:uid="{00000000-0005-0000-0000-0000A1030000}"/>
    <cellStyle name="Vejica 5 75" xfId="736" xr:uid="{00000000-0005-0000-0000-0000A2030000}"/>
    <cellStyle name="Vejica 5 75 2" xfId="737" xr:uid="{00000000-0005-0000-0000-0000A3030000}"/>
    <cellStyle name="Vejica 5 75 3" xfId="738" xr:uid="{00000000-0005-0000-0000-0000A4030000}"/>
    <cellStyle name="Vejica 5 75 4" xfId="739" xr:uid="{00000000-0005-0000-0000-0000A5030000}"/>
    <cellStyle name="Vejica 5 75 5" xfId="740" xr:uid="{00000000-0005-0000-0000-0000A6030000}"/>
    <cellStyle name="Vejica 5 76" xfId="741" xr:uid="{00000000-0005-0000-0000-0000A7030000}"/>
    <cellStyle name="Vejica 5 76 2" xfId="742" xr:uid="{00000000-0005-0000-0000-0000A8030000}"/>
    <cellStyle name="Vejica 5 76 3" xfId="743" xr:uid="{00000000-0005-0000-0000-0000A9030000}"/>
    <cellStyle name="Vejica 5 76 4" xfId="744" xr:uid="{00000000-0005-0000-0000-0000AA030000}"/>
    <cellStyle name="Vejica 5 76 5" xfId="745" xr:uid="{00000000-0005-0000-0000-0000AB030000}"/>
    <cellStyle name="Vejica 5 77" xfId="746" xr:uid="{00000000-0005-0000-0000-0000AC030000}"/>
    <cellStyle name="Vejica 5 77 2" xfId="747" xr:uid="{00000000-0005-0000-0000-0000AD030000}"/>
    <cellStyle name="Vejica 5 77 3" xfId="748" xr:uid="{00000000-0005-0000-0000-0000AE030000}"/>
    <cellStyle name="Vejica 5 77 4" xfId="749" xr:uid="{00000000-0005-0000-0000-0000AF030000}"/>
    <cellStyle name="Vejica 5 77 5" xfId="750" xr:uid="{00000000-0005-0000-0000-0000B0030000}"/>
    <cellStyle name="Vejica 5 78" xfId="751" xr:uid="{00000000-0005-0000-0000-0000B1030000}"/>
    <cellStyle name="Vejica 5 78 2" xfId="752" xr:uid="{00000000-0005-0000-0000-0000B2030000}"/>
    <cellStyle name="Vejica 5 78 3" xfId="753" xr:uid="{00000000-0005-0000-0000-0000B3030000}"/>
    <cellStyle name="Vejica 5 78 4" xfId="754" xr:uid="{00000000-0005-0000-0000-0000B4030000}"/>
    <cellStyle name="Vejica 5 78 5" xfId="755" xr:uid="{00000000-0005-0000-0000-0000B5030000}"/>
    <cellStyle name="Vejica 5 79" xfId="756" xr:uid="{00000000-0005-0000-0000-0000B6030000}"/>
    <cellStyle name="Vejica 5 79 2" xfId="757" xr:uid="{00000000-0005-0000-0000-0000B7030000}"/>
    <cellStyle name="Vejica 5 79 3" xfId="758" xr:uid="{00000000-0005-0000-0000-0000B8030000}"/>
    <cellStyle name="Vejica 5 79 4" xfId="759" xr:uid="{00000000-0005-0000-0000-0000B9030000}"/>
    <cellStyle name="Vejica 5 79 5" xfId="760" xr:uid="{00000000-0005-0000-0000-0000BA030000}"/>
    <cellStyle name="Vejica 5 8" xfId="761" xr:uid="{00000000-0005-0000-0000-0000BB030000}"/>
    <cellStyle name="Vejica 5 8 2" xfId="762" xr:uid="{00000000-0005-0000-0000-0000BC030000}"/>
    <cellStyle name="Vejica 5 8 3" xfId="763" xr:uid="{00000000-0005-0000-0000-0000BD030000}"/>
    <cellStyle name="Vejica 5 8 4" xfId="764" xr:uid="{00000000-0005-0000-0000-0000BE030000}"/>
    <cellStyle name="Vejica 5 8 5" xfId="765" xr:uid="{00000000-0005-0000-0000-0000BF030000}"/>
    <cellStyle name="Vejica 5 80" xfId="766" xr:uid="{00000000-0005-0000-0000-0000C0030000}"/>
    <cellStyle name="Vejica 5 80 2" xfId="767" xr:uid="{00000000-0005-0000-0000-0000C1030000}"/>
    <cellStyle name="Vejica 5 80 3" xfId="768" xr:uid="{00000000-0005-0000-0000-0000C2030000}"/>
    <cellStyle name="Vejica 5 80 4" xfId="769" xr:uid="{00000000-0005-0000-0000-0000C3030000}"/>
    <cellStyle name="Vejica 5 80 5" xfId="770" xr:uid="{00000000-0005-0000-0000-0000C4030000}"/>
    <cellStyle name="Vejica 5 81" xfId="771" xr:uid="{00000000-0005-0000-0000-0000C5030000}"/>
    <cellStyle name="Vejica 5 81 2" xfId="772" xr:uid="{00000000-0005-0000-0000-0000C6030000}"/>
    <cellStyle name="Vejica 5 81 3" xfId="773" xr:uid="{00000000-0005-0000-0000-0000C7030000}"/>
    <cellStyle name="Vejica 5 81 4" xfId="774" xr:uid="{00000000-0005-0000-0000-0000C8030000}"/>
    <cellStyle name="Vejica 5 81 5" xfId="775" xr:uid="{00000000-0005-0000-0000-0000C9030000}"/>
    <cellStyle name="Vejica 5 82" xfId="776" xr:uid="{00000000-0005-0000-0000-0000CA030000}"/>
    <cellStyle name="Vejica 5 82 2" xfId="777" xr:uid="{00000000-0005-0000-0000-0000CB030000}"/>
    <cellStyle name="Vejica 5 82 3" xfId="778" xr:uid="{00000000-0005-0000-0000-0000CC030000}"/>
    <cellStyle name="Vejica 5 82 4" xfId="779" xr:uid="{00000000-0005-0000-0000-0000CD030000}"/>
    <cellStyle name="Vejica 5 82 5" xfId="780" xr:uid="{00000000-0005-0000-0000-0000CE030000}"/>
    <cellStyle name="Vejica 5 83" xfId="781" xr:uid="{00000000-0005-0000-0000-0000CF030000}"/>
    <cellStyle name="Vejica 5 83 2" xfId="782" xr:uid="{00000000-0005-0000-0000-0000D0030000}"/>
    <cellStyle name="Vejica 5 83 3" xfId="783" xr:uid="{00000000-0005-0000-0000-0000D1030000}"/>
    <cellStyle name="Vejica 5 83 4" xfId="784" xr:uid="{00000000-0005-0000-0000-0000D2030000}"/>
    <cellStyle name="Vejica 5 83 5" xfId="785" xr:uid="{00000000-0005-0000-0000-0000D3030000}"/>
    <cellStyle name="Vejica 5 84" xfId="786" xr:uid="{00000000-0005-0000-0000-0000D4030000}"/>
    <cellStyle name="Vejica 5 84 2" xfId="787" xr:uid="{00000000-0005-0000-0000-0000D5030000}"/>
    <cellStyle name="Vejica 5 84 3" xfId="788" xr:uid="{00000000-0005-0000-0000-0000D6030000}"/>
    <cellStyle name="Vejica 5 84 4" xfId="789" xr:uid="{00000000-0005-0000-0000-0000D7030000}"/>
    <cellStyle name="Vejica 5 84 5" xfId="790" xr:uid="{00000000-0005-0000-0000-0000D8030000}"/>
    <cellStyle name="Vejica 5 85" xfId="791" xr:uid="{00000000-0005-0000-0000-0000D9030000}"/>
    <cellStyle name="Vejica 5 85 2" xfId="792" xr:uid="{00000000-0005-0000-0000-0000DA030000}"/>
    <cellStyle name="Vejica 5 85 3" xfId="793" xr:uid="{00000000-0005-0000-0000-0000DB030000}"/>
    <cellStyle name="Vejica 5 85 4" xfId="794" xr:uid="{00000000-0005-0000-0000-0000DC030000}"/>
    <cellStyle name="Vejica 5 85 5" xfId="795" xr:uid="{00000000-0005-0000-0000-0000DD030000}"/>
    <cellStyle name="Vejica 5 9" xfId="796" xr:uid="{00000000-0005-0000-0000-0000DE030000}"/>
    <cellStyle name="Vejica 5 9 2" xfId="797" xr:uid="{00000000-0005-0000-0000-0000DF030000}"/>
    <cellStyle name="Vejica 5 9 3" xfId="798" xr:uid="{00000000-0005-0000-0000-0000E0030000}"/>
    <cellStyle name="Vejica 5 9 4" xfId="799" xr:uid="{00000000-0005-0000-0000-0000E1030000}"/>
    <cellStyle name="Vejica 5 9 5" xfId="800" xr:uid="{00000000-0005-0000-0000-0000E2030000}"/>
    <cellStyle name="Vnos 2" xfId="801" xr:uid="{00000000-0005-0000-0000-0000E3030000}"/>
    <cellStyle name="Vsota 2" xfId="802" xr:uid="{00000000-0005-0000-0000-0000E4030000}"/>
    <cellStyle name="Warning Text" xfId="803" xr:uid="{00000000-0005-0000-0000-0000E5030000}"/>
    <cellStyle name="Zuza" xfId="804" xr:uid="{00000000-0005-0000-0000-0000E6030000}"/>
  </cellStyles>
  <dxfs count="0"/>
  <tableStyles count="0" defaultTableStyle="TableStyleMedium2" defaultPivotStyle="PivotStyleLight16"/>
  <colors>
    <mruColors>
      <color rgb="FFFF66FF"/>
      <color rgb="FFFFFF99"/>
      <color rgb="FF43B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415786</xdr:colOff>
      <xdr:row>0</xdr:row>
      <xdr:rowOff>76200</xdr:rowOff>
    </xdr:from>
    <xdr:to>
      <xdr:col>3</xdr:col>
      <xdr:colOff>1330186</xdr:colOff>
      <xdr:row>4</xdr:row>
      <xdr:rowOff>68000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3808" y="76200"/>
          <a:ext cx="914400" cy="687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8</xdr:row>
      <xdr:rowOff>190500</xdr:rowOff>
    </xdr:from>
    <xdr:to>
      <xdr:col>4</xdr:col>
      <xdr:colOff>752475</xdr:colOff>
      <xdr:row>11</xdr:row>
      <xdr:rowOff>1304925</xdr:rowOff>
    </xdr:to>
    <xdr:pic>
      <xdr:nvPicPr>
        <xdr:cNvPr id="2" name="Picture 2" descr="IMG_0115">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t="12582" b="15894"/>
        <a:stretch>
          <a:fillRect/>
        </a:stretch>
      </xdr:blipFill>
      <xdr:spPr bwMode="auto">
        <a:xfrm>
          <a:off x="5800725" y="3324225"/>
          <a:ext cx="1962150" cy="1304925"/>
        </a:xfrm>
        <a:prstGeom prst="rect">
          <a:avLst/>
        </a:prstGeom>
        <a:noFill/>
        <a:ln w="9525">
          <a:noFill/>
          <a:miter lim="800000"/>
          <a:headEnd/>
          <a:tailEnd/>
        </a:ln>
      </xdr:spPr>
    </xdr:pic>
    <xdr:clientData/>
  </xdr:twoCellAnchor>
  <xdr:twoCellAnchor>
    <xdr:from>
      <xdr:col>2</xdr:col>
      <xdr:colOff>66675</xdr:colOff>
      <xdr:row>14</xdr:row>
      <xdr:rowOff>180975</xdr:rowOff>
    </xdr:from>
    <xdr:to>
      <xdr:col>4</xdr:col>
      <xdr:colOff>752475</xdr:colOff>
      <xdr:row>15</xdr:row>
      <xdr:rowOff>1133475</xdr:rowOff>
    </xdr:to>
    <xdr:pic>
      <xdr:nvPicPr>
        <xdr:cNvPr id="3" name="Picture 3" descr="IMG_1845">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00725" y="5200650"/>
          <a:ext cx="1962150" cy="1143000"/>
        </a:xfrm>
        <a:prstGeom prst="rect">
          <a:avLst/>
        </a:prstGeom>
        <a:noFill/>
        <a:ln w="9525">
          <a:noFill/>
          <a:miter lim="800000"/>
          <a:headEnd/>
          <a:tailEnd/>
        </a:ln>
      </xdr:spPr>
    </xdr:pic>
    <xdr:clientData/>
  </xdr:twoCellAnchor>
  <xdr:twoCellAnchor>
    <xdr:from>
      <xdr:col>2</xdr:col>
      <xdr:colOff>66675</xdr:colOff>
      <xdr:row>19</xdr:row>
      <xdr:rowOff>19050</xdr:rowOff>
    </xdr:from>
    <xdr:to>
      <xdr:col>4</xdr:col>
      <xdr:colOff>752475</xdr:colOff>
      <xdr:row>19</xdr:row>
      <xdr:rowOff>1143000</xdr:rowOff>
    </xdr:to>
    <xdr:pic>
      <xdr:nvPicPr>
        <xdr:cNvPr id="4" name="Picture 5" descr="IMG_1171">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3" cstate="print"/>
        <a:srcRect l="21292" t="26231" r="9953" b="3250"/>
        <a:stretch>
          <a:fillRect/>
        </a:stretch>
      </xdr:blipFill>
      <xdr:spPr bwMode="auto">
        <a:xfrm>
          <a:off x="5800725" y="6943725"/>
          <a:ext cx="1962150" cy="1123950"/>
        </a:xfrm>
        <a:prstGeom prst="rect">
          <a:avLst/>
        </a:prstGeom>
        <a:noFill/>
        <a:ln w="9525">
          <a:noFill/>
          <a:miter lim="800000"/>
          <a:headEnd/>
          <a:tailEnd/>
        </a:ln>
      </xdr:spPr>
    </xdr:pic>
    <xdr:clientData/>
  </xdr:twoCellAnchor>
  <xdr:twoCellAnchor editAs="oneCell">
    <xdr:from>
      <xdr:col>2</xdr:col>
      <xdr:colOff>57150</xdr:colOff>
      <xdr:row>22</xdr:row>
      <xdr:rowOff>38100</xdr:rowOff>
    </xdr:from>
    <xdr:to>
      <xdr:col>4</xdr:col>
      <xdr:colOff>723900</xdr:colOff>
      <xdr:row>25</xdr:row>
      <xdr:rowOff>171534</xdr:rowOff>
    </xdr:to>
    <xdr:pic>
      <xdr:nvPicPr>
        <xdr:cNvPr id="5" name="Slika 4" descr="DSC_0192_kapitel.jpg">
          <a:extLst>
            <a:ext uri="{FF2B5EF4-FFF2-40B4-BE49-F238E27FC236}">
              <a16:creationId xmlns:a16="http://schemas.microsoft.com/office/drawing/2014/main" id="{00000000-0008-0000-0000-000004040000}"/>
            </a:ext>
          </a:extLst>
        </xdr:cNvPr>
        <xdr:cNvPicPr>
          <a:picLocks noChangeAspect="1"/>
        </xdr:cNvPicPr>
      </xdr:nvPicPr>
      <xdr:blipFill>
        <a:blip xmlns:r="http://schemas.openxmlformats.org/officeDocument/2006/relationships" r:embed="rId4" cstate="print"/>
        <a:srcRect t="22926"/>
        <a:stretch>
          <a:fillRect/>
        </a:stretch>
      </xdr:blipFill>
      <xdr:spPr bwMode="auto">
        <a:xfrm>
          <a:off x="5800725" y="5924550"/>
          <a:ext cx="1781175" cy="1238334"/>
        </a:xfrm>
        <a:prstGeom prst="rect">
          <a:avLst/>
        </a:prstGeom>
        <a:noFill/>
        <a:ln w="9525">
          <a:noFill/>
          <a:miter lim="800000"/>
          <a:headEnd/>
          <a:tailEnd/>
        </a:ln>
      </xdr:spPr>
    </xdr:pic>
    <xdr:clientData/>
  </xdr:twoCellAnchor>
  <xdr:twoCellAnchor>
    <xdr:from>
      <xdr:col>2</xdr:col>
      <xdr:colOff>30752</xdr:colOff>
      <xdr:row>36</xdr:row>
      <xdr:rowOff>9525</xdr:rowOff>
    </xdr:from>
    <xdr:to>
      <xdr:col>4</xdr:col>
      <xdr:colOff>734241</xdr:colOff>
      <xdr:row>36</xdr:row>
      <xdr:rowOff>514350</xdr:rowOff>
    </xdr:to>
    <xdr:pic>
      <xdr:nvPicPr>
        <xdr:cNvPr id="6" name="Slika 5">
          <a:extLst>
            <a:ext uri="{FF2B5EF4-FFF2-40B4-BE49-F238E27FC236}">
              <a16:creationId xmlns:a16="http://schemas.microsoft.com/office/drawing/2014/main" id="{068EC497-CE52-4FF8-9542-6445121D0635}"/>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873" t="21003" r="-237" b="36856"/>
        <a:stretch/>
      </xdr:blipFill>
      <xdr:spPr bwMode="auto">
        <a:xfrm>
          <a:off x="5774327" y="10344150"/>
          <a:ext cx="1817914"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9526</xdr:colOff>
      <xdr:row>31</xdr:row>
      <xdr:rowOff>171450</xdr:rowOff>
    </xdr:from>
    <xdr:to>
      <xdr:col>4</xdr:col>
      <xdr:colOff>723900</xdr:colOff>
      <xdr:row>33</xdr:row>
      <xdr:rowOff>9525</xdr:rowOff>
    </xdr:to>
    <xdr:pic>
      <xdr:nvPicPr>
        <xdr:cNvPr id="7" name="Slika 6">
          <a:extLst>
            <a:ext uri="{FF2B5EF4-FFF2-40B4-BE49-F238E27FC236}">
              <a16:creationId xmlns:a16="http://schemas.microsoft.com/office/drawing/2014/main" id="{489E014E-FAD5-47E1-80A7-3A8A8AE76A5C}"/>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877" t="31352" r="438" b="8801"/>
        <a:stretch/>
      </xdr:blipFill>
      <xdr:spPr bwMode="auto">
        <a:xfrm>
          <a:off x="5753101" y="8658225"/>
          <a:ext cx="1828799"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rojekti\8697_IZP-PZI_Rafut\04_PZI\10_krajinska_arhitektura\popis\8697-PAR-PZI-LUZ-KA-200908-popis-park-opombe_CE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PLOŠNE OPOMBE"/>
      <sheetName val="1 Pripravljalna dela"/>
      <sheetName val="2 Tlaki"/>
      <sheetName val="3. Ureditve"/>
      <sheetName val="4. Oprema"/>
      <sheetName val="5. Restavratorska dela"/>
      <sheetName val="6.1 Vegetacija - Odstranitve"/>
      <sheetName val="6.2 Vegetacija - Vzdrževanje"/>
      <sheetName val="6.3 Vegetacija - Zasaditev"/>
      <sheetName val="Kanalizacija- S1"/>
      <sheetName val="Kanalizacija- S2"/>
      <sheetName val="Kanalizacija- S2.1"/>
      <sheetName val="Kanalizacija - S3"/>
      <sheetName val="Kanalizacija - S4"/>
      <sheetName val="Kanalizacija - S5"/>
      <sheetName val="Vodovod"/>
      <sheetName val="ELEKTRO NN+CR"/>
      <sheetName val="ELEKTRO TK"/>
      <sheetName val="ELEKTRO VIDEO"/>
      <sheetName val="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B1" t="str">
            <v>UREDITEV RAFUTSKEGA PARKA Z LAŠČAKOVO VILO - Park</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L80"/>
  <sheetViews>
    <sheetView tabSelected="1" showWhiteSpace="0" view="pageBreakPreview" zoomScale="80" zoomScaleNormal="96" zoomScaleSheetLayoutView="80" workbookViewId="0">
      <selection activeCell="B17" sqref="B17"/>
    </sheetView>
  </sheetViews>
  <sheetFormatPr defaultColWidth="5.7109375" defaultRowHeight="13.5"/>
  <cols>
    <col min="1" max="1" width="14" style="437" customWidth="1"/>
    <col min="2" max="2" width="63.28515625" style="182" customWidth="1"/>
    <col min="3" max="3" width="16.7109375" style="182" customWidth="1"/>
    <col min="4" max="4" width="21.140625" style="438" customWidth="1"/>
    <col min="5" max="5" width="16.5703125" style="411" customWidth="1"/>
    <col min="6" max="8" width="16.7109375" style="411" customWidth="1"/>
    <col min="9" max="9" width="15.7109375" style="528" customWidth="1"/>
    <col min="10" max="10" width="14.7109375" style="411" customWidth="1"/>
    <col min="11" max="255" width="9.140625" style="411" customWidth="1"/>
    <col min="256" max="256" width="5.7109375" style="411" customWidth="1"/>
    <col min="257" max="257" width="40.7109375" style="411" customWidth="1"/>
    <col min="258" max="16384" width="5.7109375" style="411"/>
  </cols>
  <sheetData>
    <row r="1" spans="1:10" s="406" customFormat="1">
      <c r="A1" s="404"/>
      <c r="B1" s="167"/>
      <c r="C1" s="167"/>
      <c r="D1" s="405"/>
      <c r="I1" s="525"/>
    </row>
    <row r="2" spans="1:10" s="406" customFormat="1">
      <c r="A2" s="407" t="s">
        <v>30</v>
      </c>
      <c r="B2" s="408" t="s">
        <v>31</v>
      </c>
      <c r="C2" s="407" t="s">
        <v>1642</v>
      </c>
      <c r="D2" s="407"/>
      <c r="I2" s="525"/>
    </row>
    <row r="3" spans="1:10" s="406" customFormat="1">
      <c r="A3" s="407" t="s">
        <v>32</v>
      </c>
      <c r="B3" s="408" t="s">
        <v>33</v>
      </c>
      <c r="C3" s="407" t="s">
        <v>1643</v>
      </c>
      <c r="D3" s="409"/>
      <c r="I3" s="525"/>
    </row>
    <row r="4" spans="1:10" s="406" customFormat="1">
      <c r="A4" s="407" t="s">
        <v>34</v>
      </c>
      <c r="B4" s="408" t="s">
        <v>35</v>
      </c>
      <c r="C4" s="407" t="s">
        <v>1644</v>
      </c>
      <c r="D4" s="409"/>
      <c r="I4" s="525"/>
    </row>
    <row r="5" spans="1:10" s="406" customFormat="1" ht="14.25" thickBot="1">
      <c r="A5" s="404"/>
      <c r="B5" s="167"/>
      <c r="C5" s="167"/>
      <c r="D5" s="405"/>
      <c r="I5" s="525"/>
    </row>
    <row r="6" spans="1:10" s="409" customFormat="1" ht="14.25" thickBot="1">
      <c r="A6" s="1313" t="str">
        <f>Info!B1</f>
        <v>UREDITEV RAFUTSKEGA PARKA Z LAŠČAKOVO VILO - Park</v>
      </c>
      <c r="B6" s="1314"/>
      <c r="C6" s="1314"/>
      <c r="D6" s="1315"/>
      <c r="I6" s="526"/>
    </row>
    <row r="7" spans="1:10" s="409" customFormat="1" ht="40.5" customHeight="1" thickBot="1">
      <c r="A7" s="1319" t="str">
        <f>Info!B4</f>
        <v>Mestna občina Nova Gorica
Trg Edvarda Kardelja 1
5000 Nova Gorica</v>
      </c>
      <c r="B7" s="1320"/>
      <c r="C7" s="1320"/>
      <c r="D7" s="1321"/>
      <c r="I7" s="526"/>
    </row>
    <row r="8" spans="1:10" s="410" customFormat="1" ht="14.25" customHeight="1" thickBot="1">
      <c r="A8" s="1316" t="s">
        <v>12</v>
      </c>
      <c r="B8" s="1317"/>
      <c r="C8" s="1317"/>
      <c r="D8" s="1318"/>
      <c r="I8" s="527"/>
    </row>
    <row r="9" spans="1:10" s="409" customFormat="1">
      <c r="A9" s="168"/>
      <c r="B9" s="169"/>
      <c r="C9" s="169"/>
      <c r="D9" s="170"/>
      <c r="I9" s="526"/>
    </row>
    <row r="10" spans="1:10" s="409" customFormat="1" ht="13.5" customHeight="1">
      <c r="A10" s="1309" t="s">
        <v>1</v>
      </c>
      <c r="B10" s="1322" t="s">
        <v>2</v>
      </c>
      <c r="C10" s="1323"/>
      <c r="D10" s="1311" t="s">
        <v>3</v>
      </c>
      <c r="E10" s="541"/>
      <c r="F10" s="541"/>
      <c r="G10" s="541"/>
      <c r="H10" s="541"/>
      <c r="I10" s="526"/>
    </row>
    <row r="11" spans="1:10" s="409" customFormat="1">
      <c r="A11" s="1310"/>
      <c r="B11" s="1324"/>
      <c r="C11" s="1325"/>
      <c r="D11" s="1312"/>
      <c r="E11" s="541"/>
      <c r="F11" s="541"/>
      <c r="G11" s="541"/>
      <c r="H11" s="541"/>
      <c r="I11" s="526"/>
    </row>
    <row r="12" spans="1:10" s="539" customFormat="1" ht="14.25" thickBot="1">
      <c r="A12" s="536"/>
      <c r="B12" s="537"/>
      <c r="C12" s="537"/>
      <c r="D12" s="538"/>
      <c r="I12" s="540"/>
    </row>
    <row r="13" spans="1:10" s="409" customFormat="1" ht="24.75" customHeight="1" thickTop="1">
      <c r="A13" s="1344" t="s">
        <v>1663</v>
      </c>
      <c r="B13" s="1345"/>
      <c r="C13" s="1348" t="s">
        <v>1595</v>
      </c>
      <c r="D13" s="1348"/>
      <c r="E13" s="1341" t="s">
        <v>1701</v>
      </c>
      <c r="F13" s="1342"/>
      <c r="G13" s="1343"/>
      <c r="H13" s="1350" t="s">
        <v>1594</v>
      </c>
      <c r="I13" s="526"/>
    </row>
    <row r="14" spans="1:10" ht="27.75" thickBot="1">
      <c r="A14" s="1346"/>
      <c r="B14" s="1347"/>
      <c r="C14" s="1349"/>
      <c r="D14" s="1349"/>
      <c r="E14" s="533" t="s">
        <v>8</v>
      </c>
      <c r="F14" s="534" t="s">
        <v>1702</v>
      </c>
      <c r="G14" s="535" t="s">
        <v>1703</v>
      </c>
      <c r="H14" s="1351"/>
      <c r="J14" s="412"/>
    </row>
    <row r="15" spans="1:10" ht="15" thickTop="1" thickBot="1">
      <c r="A15" s="378" t="s">
        <v>20</v>
      </c>
      <c r="B15" s="1327" t="s">
        <v>1718</v>
      </c>
      <c r="C15" s="1328"/>
      <c r="D15" s="171">
        <f>SUM(C16:C17)</f>
        <v>0</v>
      </c>
      <c r="E15" s="376">
        <f>SUM(F15+G15)</f>
        <v>0</v>
      </c>
      <c r="F15" s="472">
        <f>'1 Pripravljalna dela in tuje st'!$G$76</f>
        <v>0</v>
      </c>
      <c r="G15" s="467">
        <f>'1 Pripravljalna dela in tuje st'!$H$76</f>
        <v>0</v>
      </c>
      <c r="H15" s="384">
        <f>'1 Pripravljalna dela in tuje st'!$I$76</f>
        <v>0</v>
      </c>
      <c r="I15" s="529"/>
      <c r="J15" s="413"/>
    </row>
    <row r="16" spans="1:10">
      <c r="A16" s="379" t="s">
        <v>669</v>
      </c>
      <c r="B16" s="414" t="s">
        <v>1719</v>
      </c>
      <c r="C16" s="512">
        <f>+'1 Pripravljalna dela in tuje st'!F42</f>
        <v>0</v>
      </c>
      <c r="D16" s="415"/>
      <c r="E16" s="465"/>
      <c r="F16" s="545">
        <f>'1 Pripravljalna dela in tuje st'!G42</f>
        <v>0</v>
      </c>
      <c r="G16" s="546">
        <f>'1 Pripravljalna dela in tuje st'!H42</f>
        <v>0</v>
      </c>
      <c r="H16" s="548">
        <f>'1 Pripravljalna dela in tuje st'!I42</f>
        <v>0</v>
      </c>
      <c r="I16" s="529"/>
      <c r="J16" s="412"/>
    </row>
    <row r="17" spans="1:12" ht="14.25" thickBot="1">
      <c r="A17" s="380" t="s">
        <v>0</v>
      </c>
      <c r="B17" s="417" t="s">
        <v>342</v>
      </c>
      <c r="C17" s="513">
        <f>+'1 Pripravljalna dela in tuje st'!F74</f>
        <v>0</v>
      </c>
      <c r="D17" s="418"/>
      <c r="E17" s="466"/>
      <c r="F17" s="517">
        <f>'1 Pripravljalna dela in tuje st'!G74</f>
        <v>0</v>
      </c>
      <c r="G17" s="520">
        <f>'1 Pripravljalna dela in tuje st'!H74</f>
        <v>0</v>
      </c>
      <c r="H17" s="547">
        <f>'1 Pripravljalna dela in tuje st'!I74</f>
        <v>0</v>
      </c>
      <c r="I17" s="529"/>
      <c r="J17" s="412"/>
    </row>
    <row r="18" spans="1:12" ht="14.25" thickBot="1">
      <c r="A18" s="381"/>
      <c r="B18" s="172"/>
      <c r="C18" s="172"/>
      <c r="D18" s="173"/>
      <c r="E18" s="416"/>
      <c r="F18" s="473"/>
      <c r="G18" s="468"/>
      <c r="H18" s="420"/>
      <c r="J18" s="412"/>
    </row>
    <row r="19" spans="1:12" ht="14.25" thickBot="1">
      <c r="A19" s="378" t="s">
        <v>41</v>
      </c>
      <c r="B19" s="1327" t="s">
        <v>666</v>
      </c>
      <c r="C19" s="1328"/>
      <c r="D19" s="171">
        <f>SUM(C20:C22)</f>
        <v>0</v>
      </c>
      <c r="E19" s="376">
        <f>SUM(F19+G19)</f>
        <v>0</v>
      </c>
      <c r="F19" s="171">
        <f>+SUM(F20:F22)</f>
        <v>0</v>
      </c>
      <c r="G19" s="467"/>
      <c r="H19" s="384">
        <f>'2 Tlaki'!H175</f>
        <v>0</v>
      </c>
      <c r="I19" s="530"/>
      <c r="J19" s="413"/>
      <c r="K19" s="406"/>
      <c r="L19" s="406"/>
    </row>
    <row r="20" spans="1:12">
      <c r="A20" s="379" t="s">
        <v>42</v>
      </c>
      <c r="B20" s="414" t="s">
        <v>1708</v>
      </c>
      <c r="C20" s="512">
        <f>'2 Tlaki'!F43</f>
        <v>0</v>
      </c>
      <c r="D20" s="421"/>
      <c r="E20" s="568">
        <f>'2 Tlaki'!F43</f>
        <v>0</v>
      </c>
      <c r="F20" s="516">
        <f>'2 Tlaki'!G43</f>
        <v>0</v>
      </c>
      <c r="G20" s="518"/>
      <c r="H20" s="423">
        <f>'2 Tlaki'!H43</f>
        <v>0</v>
      </c>
      <c r="I20" s="529"/>
      <c r="J20" s="412"/>
      <c r="K20" s="406"/>
      <c r="L20" s="406"/>
    </row>
    <row r="21" spans="1:12">
      <c r="A21" s="379" t="s">
        <v>43</v>
      </c>
      <c r="B21" s="414" t="s">
        <v>1709</v>
      </c>
      <c r="C21" s="512">
        <f>'2 Tlaki'!F141</f>
        <v>0</v>
      </c>
      <c r="D21" s="424"/>
      <c r="E21" s="568">
        <f>'2 Tlaki'!G141</f>
        <v>0</v>
      </c>
      <c r="F21" s="516">
        <f>'2 Tlaki'!G141</f>
        <v>0</v>
      </c>
      <c r="G21" s="518"/>
      <c r="H21" s="423">
        <f>'2 Tlaki'!H141</f>
        <v>0</v>
      </c>
      <c r="I21" s="529"/>
      <c r="J21" s="412"/>
    </row>
    <row r="22" spans="1:12" ht="14.25" thickBot="1">
      <c r="A22" s="380" t="s">
        <v>65</v>
      </c>
      <c r="B22" s="417" t="s">
        <v>1131</v>
      </c>
      <c r="C22" s="513">
        <f>'2 Tlaki'!F173</f>
        <v>0</v>
      </c>
      <c r="D22" s="425"/>
      <c r="E22" s="569">
        <f>'2 Tlaki'!G173</f>
        <v>0</v>
      </c>
      <c r="F22" s="517">
        <f>'2 Tlaki'!G173</f>
        <v>0</v>
      </c>
      <c r="G22" s="520"/>
      <c r="H22" s="419">
        <f>'2 Tlaki'!H173</f>
        <v>0</v>
      </c>
      <c r="I22" s="529"/>
      <c r="J22" s="412"/>
    </row>
    <row r="23" spans="1:12" ht="14.25" thickBot="1">
      <c r="A23" s="382"/>
      <c r="B23" s="174"/>
      <c r="C23" s="174"/>
      <c r="D23" s="175"/>
      <c r="E23" s="416"/>
      <c r="F23" s="473"/>
      <c r="G23" s="468"/>
      <c r="H23" s="420"/>
      <c r="J23" s="412"/>
    </row>
    <row r="24" spans="1:12" ht="14.25" thickBot="1">
      <c r="A24" s="378" t="s">
        <v>49</v>
      </c>
      <c r="B24" s="1327" t="s">
        <v>667</v>
      </c>
      <c r="C24" s="1328"/>
      <c r="D24" s="171">
        <f>SUM(C25:C31)</f>
        <v>0</v>
      </c>
      <c r="E24" s="376">
        <f>F24+G24</f>
        <v>0</v>
      </c>
      <c r="F24" s="171">
        <f>+SUM(F25:F31)</f>
        <v>0</v>
      </c>
      <c r="G24" s="467">
        <v>0</v>
      </c>
      <c r="H24" s="384">
        <f>+SUM(H25:H31)</f>
        <v>0</v>
      </c>
      <c r="I24" s="525"/>
      <c r="J24" s="412"/>
      <c r="K24" s="406"/>
      <c r="L24" s="406"/>
    </row>
    <row r="25" spans="1:12">
      <c r="A25" s="379" t="s">
        <v>66</v>
      </c>
      <c r="B25" s="414" t="s">
        <v>46</v>
      </c>
      <c r="C25" s="512">
        <f>+'3. Ureditve'!F92</f>
        <v>0</v>
      </c>
      <c r="D25" s="415"/>
      <c r="E25" s="474">
        <f>'3. Ureditve'!F92</f>
        <v>0</v>
      </c>
      <c r="F25" s="516">
        <f>'3. Ureditve'!F92</f>
        <v>0</v>
      </c>
      <c r="G25" s="422"/>
      <c r="H25" s="423"/>
      <c r="I25" s="529"/>
      <c r="J25" s="412"/>
      <c r="K25" s="406"/>
      <c r="L25" s="406"/>
    </row>
    <row r="26" spans="1:12">
      <c r="A26" s="379" t="s">
        <v>467</v>
      </c>
      <c r="B26" s="414" t="s">
        <v>54</v>
      </c>
      <c r="C26" s="512">
        <f>+'3. Ureditve'!F188</f>
        <v>0</v>
      </c>
      <c r="D26" s="424"/>
      <c r="E26" s="568">
        <f>'3. Ureditve'!F188</f>
        <v>0</v>
      </c>
      <c r="F26" s="516">
        <f>'3. Ureditve'!F188</f>
        <v>0</v>
      </c>
      <c r="G26" s="422"/>
      <c r="H26" s="423"/>
      <c r="J26" s="412"/>
    </row>
    <row r="27" spans="1:12">
      <c r="A27" s="379" t="s">
        <v>466</v>
      </c>
      <c r="B27" s="414" t="s">
        <v>59</v>
      </c>
      <c r="C27" s="512">
        <f>+'3. Ureditve'!F214</f>
        <v>0</v>
      </c>
      <c r="D27" s="424"/>
      <c r="E27" s="568">
        <f>'3. Ureditve'!F214</f>
        <v>0</v>
      </c>
      <c r="F27" s="516">
        <f>'3. Ureditve'!F214</f>
        <v>0</v>
      </c>
      <c r="G27" s="422"/>
      <c r="H27" s="423"/>
      <c r="J27" s="412"/>
      <c r="K27" s="411" t="s">
        <v>107</v>
      </c>
    </row>
    <row r="28" spans="1:12">
      <c r="A28" s="379" t="s">
        <v>465</v>
      </c>
      <c r="B28" s="414" t="s">
        <v>1667</v>
      </c>
      <c r="C28" s="512">
        <f>+'3. Ureditve'!F264</f>
        <v>0</v>
      </c>
      <c r="D28" s="424"/>
      <c r="E28" s="568">
        <f>'3. Ureditve'!F264</f>
        <v>0</v>
      </c>
      <c r="F28" s="516">
        <f>'3. Ureditve'!F264</f>
        <v>0</v>
      </c>
      <c r="G28" s="422"/>
      <c r="H28" s="423"/>
      <c r="J28" s="412"/>
    </row>
    <row r="29" spans="1:12">
      <c r="A29" s="379" t="s">
        <v>807</v>
      </c>
      <c r="B29" s="414" t="s">
        <v>657</v>
      </c>
      <c r="C29" s="512">
        <f>+'3. Ureditve'!F272</f>
        <v>0</v>
      </c>
      <c r="D29" s="424"/>
      <c r="E29" s="568">
        <f>'3. Ureditve'!F272</f>
        <v>0</v>
      </c>
      <c r="F29" s="516">
        <f>'3. Ureditve'!F272</f>
        <v>0</v>
      </c>
      <c r="G29" s="422"/>
      <c r="H29" s="423"/>
      <c r="J29" s="412"/>
    </row>
    <row r="30" spans="1:12">
      <c r="A30" s="379" t="s">
        <v>1218</v>
      </c>
      <c r="B30" s="414" t="s">
        <v>303</v>
      </c>
      <c r="C30" s="512">
        <f>'3. Ureditve'!F330</f>
        <v>0</v>
      </c>
      <c r="D30" s="424"/>
      <c r="E30" s="568">
        <f>'3. Ureditve'!F330</f>
        <v>0</v>
      </c>
      <c r="F30" s="516">
        <f>'3. Ureditve'!F330</f>
        <v>0</v>
      </c>
      <c r="G30" s="422"/>
      <c r="H30" s="423"/>
      <c r="J30" s="412"/>
    </row>
    <row r="31" spans="1:12" ht="14.25" thickBot="1">
      <c r="A31" s="380" t="s">
        <v>1230</v>
      </c>
      <c r="B31" s="417" t="s">
        <v>304</v>
      </c>
      <c r="C31" s="513">
        <f>'3. Ureditve'!F380</f>
        <v>0</v>
      </c>
      <c r="D31" s="418"/>
      <c r="E31" s="569">
        <f>'3. Ureditve'!F380</f>
        <v>0</v>
      </c>
      <c r="F31" s="517">
        <f>'3. Ureditve'!F380</f>
        <v>0</v>
      </c>
      <c r="G31" s="426"/>
      <c r="H31" s="419"/>
      <c r="J31" s="412"/>
    </row>
    <row r="32" spans="1:12" ht="14.25" thickBot="1">
      <c r="A32" s="382"/>
      <c r="B32" s="174"/>
      <c r="C32" s="174"/>
      <c r="D32" s="175"/>
      <c r="E32" s="416"/>
      <c r="F32" s="473"/>
      <c r="G32" s="468"/>
      <c r="H32" s="420"/>
      <c r="J32" s="412"/>
    </row>
    <row r="33" spans="1:12" ht="14.25" thickBot="1">
      <c r="A33" s="378" t="s">
        <v>50</v>
      </c>
      <c r="B33" s="1327" t="s">
        <v>777</v>
      </c>
      <c r="C33" s="1328"/>
      <c r="D33" s="171">
        <f>SUM(C34:C36)</f>
        <v>0</v>
      </c>
      <c r="E33" s="376">
        <f>F33+G33</f>
        <v>0</v>
      </c>
      <c r="F33" s="171">
        <f>+SUM(F34:F36)</f>
        <v>0</v>
      </c>
      <c r="G33" s="467">
        <v>0</v>
      </c>
      <c r="H33" s="384">
        <f>+SUM(H34:H36)</f>
        <v>0</v>
      </c>
      <c r="I33" s="525"/>
      <c r="J33" s="412"/>
      <c r="K33" s="406"/>
      <c r="L33" s="406"/>
    </row>
    <row r="34" spans="1:12">
      <c r="A34" s="379" t="s">
        <v>67</v>
      </c>
      <c r="B34" s="414" t="s">
        <v>58</v>
      </c>
      <c r="C34" s="512">
        <f>'4. Oprema'!F88</f>
        <v>0</v>
      </c>
      <c r="D34" s="415"/>
      <c r="E34" s="474">
        <f>'4. Oprema'!F88</f>
        <v>0</v>
      </c>
      <c r="F34" s="516">
        <f>'4. Oprema'!F88</f>
        <v>0</v>
      </c>
      <c r="G34" s="422"/>
      <c r="H34" s="423"/>
      <c r="I34" s="529"/>
      <c r="J34" s="412"/>
      <c r="K34" s="406"/>
      <c r="L34" s="406"/>
    </row>
    <row r="35" spans="1:12">
      <c r="A35" s="379" t="s">
        <v>75</v>
      </c>
      <c r="B35" s="414" t="s">
        <v>47</v>
      </c>
      <c r="C35" s="512">
        <f>'4. Oprema'!F139+'4. Oprema'!G139</f>
        <v>0</v>
      </c>
      <c r="D35" s="424"/>
      <c r="E35" s="474">
        <f>'4. Oprema'!F139</f>
        <v>0</v>
      </c>
      <c r="F35" s="516">
        <f>'4. Oprema'!F139</f>
        <v>0</v>
      </c>
      <c r="G35" s="422"/>
      <c r="H35" s="423">
        <f>'4. Oprema'!G139</f>
        <v>0</v>
      </c>
      <c r="I35" s="529"/>
      <c r="J35" s="412"/>
    </row>
    <row r="36" spans="1:12" ht="14.25" thickBot="1">
      <c r="A36" s="380" t="s">
        <v>76</v>
      </c>
      <c r="B36" s="417" t="s">
        <v>48</v>
      </c>
      <c r="C36" s="513">
        <f>'4. Oprema'!F157</f>
        <v>0</v>
      </c>
      <c r="D36" s="418"/>
      <c r="E36" s="429">
        <f>'4. Oprema'!F157</f>
        <v>0</v>
      </c>
      <c r="F36" s="517">
        <f>'4. Oprema'!F157</f>
        <v>0</v>
      </c>
      <c r="G36" s="426"/>
      <c r="H36" s="419"/>
      <c r="I36" s="529"/>
      <c r="J36" s="412"/>
    </row>
    <row r="37" spans="1:12" ht="14.25" thickBot="1">
      <c r="A37" s="382"/>
      <c r="B37" s="174"/>
      <c r="C37" s="174"/>
      <c r="D37" s="175"/>
      <c r="E37" s="416"/>
      <c r="F37" s="473"/>
      <c r="G37" s="468"/>
      <c r="H37" s="420"/>
      <c r="J37" s="412"/>
    </row>
    <row r="38" spans="1:12" ht="14.25" thickBot="1">
      <c r="A38" s="378" t="s">
        <v>51</v>
      </c>
      <c r="B38" s="1327" t="s">
        <v>85</v>
      </c>
      <c r="C38" s="1328"/>
      <c r="D38" s="171">
        <f>SUM(C39:C39)</f>
        <v>0</v>
      </c>
      <c r="E38" s="376">
        <f>F38+G38</f>
        <v>0</v>
      </c>
      <c r="F38" s="472">
        <f>D38</f>
        <v>0</v>
      </c>
      <c r="G38" s="467">
        <v>0</v>
      </c>
      <c r="H38" s="384">
        <f>+H39</f>
        <v>0</v>
      </c>
      <c r="I38" s="531"/>
      <c r="J38" s="412"/>
    </row>
    <row r="39" spans="1:12" ht="14.25" thickBot="1">
      <c r="A39" s="380" t="s">
        <v>68</v>
      </c>
      <c r="B39" s="417" t="s">
        <v>85</v>
      </c>
      <c r="C39" s="513">
        <f>+'5. Restavratorska dela'!F55</f>
        <v>0</v>
      </c>
      <c r="D39" s="418"/>
      <c r="E39" s="429"/>
      <c r="F39" s="429"/>
      <c r="G39" s="426"/>
      <c r="H39" s="419"/>
      <c r="I39" s="532"/>
      <c r="J39" s="412"/>
    </row>
    <row r="40" spans="1:12" ht="14.25" thickBot="1">
      <c r="A40" s="381"/>
      <c r="B40" s="172"/>
      <c r="C40" s="172"/>
      <c r="D40" s="173"/>
      <c r="E40" s="416"/>
      <c r="F40" s="473"/>
      <c r="G40" s="468"/>
      <c r="H40" s="420"/>
      <c r="J40" s="412"/>
    </row>
    <row r="41" spans="1:12" ht="14.25" thickBot="1">
      <c r="A41" s="378" t="s">
        <v>52</v>
      </c>
      <c r="B41" s="1327" t="s">
        <v>623</v>
      </c>
      <c r="C41" s="1328"/>
      <c r="D41" s="171">
        <f>SUM(C42:C44)</f>
        <v>0</v>
      </c>
      <c r="E41" s="376">
        <f>F41+G41</f>
        <v>0</v>
      </c>
      <c r="F41" s="171">
        <f>+SUM(F42:F44)</f>
        <v>0</v>
      </c>
      <c r="G41" s="467">
        <v>0</v>
      </c>
      <c r="H41" s="384">
        <f>+SUM(H42:H44)</f>
        <v>0</v>
      </c>
      <c r="J41" s="412"/>
    </row>
    <row r="42" spans="1:12">
      <c r="A42" s="379" t="s">
        <v>69</v>
      </c>
      <c r="B42" s="414" t="s">
        <v>624</v>
      </c>
      <c r="C42" s="512">
        <f>'6.1 Vegetacija - Odstranitve'!F48</f>
        <v>0</v>
      </c>
      <c r="D42" s="421"/>
      <c r="E42" s="474"/>
      <c r="F42" s="516">
        <f>'6.1 Vegetacija - Odstranitve'!F46</f>
        <v>0</v>
      </c>
      <c r="G42" s="422"/>
      <c r="H42" s="423"/>
      <c r="I42" s="529"/>
      <c r="J42" s="412"/>
    </row>
    <row r="43" spans="1:12">
      <c r="A43" s="379" t="s">
        <v>833</v>
      </c>
      <c r="B43" s="427" t="s">
        <v>1603</v>
      </c>
      <c r="C43" s="512">
        <f>'6.2 Vegetacija - Vzdrževanje'!F36</f>
        <v>0</v>
      </c>
      <c r="D43" s="424"/>
      <c r="E43" s="474"/>
      <c r="F43" s="516">
        <f>'6.2 Vegetacija - Vzdrževanje'!F34</f>
        <v>0</v>
      </c>
      <c r="G43" s="422"/>
      <c r="H43" s="423"/>
      <c r="I43" s="529"/>
      <c r="J43" s="412"/>
    </row>
    <row r="44" spans="1:12" ht="14.25" thickBot="1">
      <c r="A44" s="380" t="s">
        <v>834</v>
      </c>
      <c r="B44" s="428" t="s">
        <v>1058</v>
      </c>
      <c r="C44" s="514">
        <f>'6.3 Vegetacija - Zasaditev'!F300</f>
        <v>0</v>
      </c>
      <c r="D44" s="425"/>
      <c r="E44" s="429"/>
      <c r="F44" s="517">
        <f>'6.3 Vegetacija - Zasaditev'!F298</f>
        <v>0</v>
      </c>
      <c r="G44" s="426"/>
      <c r="H44" s="419"/>
      <c r="I44" s="529"/>
      <c r="J44" s="412"/>
    </row>
    <row r="45" spans="1:12" ht="14.25" thickBot="1">
      <c r="A45" s="381"/>
      <c r="B45" s="172"/>
      <c r="C45" s="172"/>
      <c r="D45" s="173"/>
      <c r="E45" s="416"/>
      <c r="F45" s="475"/>
      <c r="G45" s="469"/>
      <c r="H45" s="430"/>
      <c r="J45" s="412"/>
    </row>
    <row r="46" spans="1:12" ht="14.25" thickBot="1">
      <c r="A46" s="378" t="s">
        <v>53</v>
      </c>
      <c r="B46" s="1327" t="s">
        <v>668</v>
      </c>
      <c r="C46" s="1328"/>
      <c r="D46" s="171">
        <f>SUM(C47:C53)</f>
        <v>0</v>
      </c>
      <c r="E46" s="376">
        <f>F46+G46</f>
        <v>0</v>
      </c>
      <c r="F46" s="472">
        <f>+SUM(F47:F53)</f>
        <v>0</v>
      </c>
      <c r="G46" s="171">
        <f>+SUM(G47:G53)</f>
        <v>0</v>
      </c>
      <c r="H46" s="384">
        <f>+SUM(H47:H53)</f>
        <v>0</v>
      </c>
      <c r="I46" s="531"/>
      <c r="J46" s="413"/>
    </row>
    <row r="47" spans="1:12">
      <c r="A47" s="379" t="s">
        <v>1074</v>
      </c>
      <c r="B47" s="414" t="s">
        <v>630</v>
      </c>
      <c r="C47" s="512">
        <f>'Kanalizacija- S1'!F131</f>
        <v>0</v>
      </c>
      <c r="D47" s="415"/>
      <c r="E47" s="516"/>
      <c r="F47" s="516"/>
      <c r="G47" s="518">
        <f>'Kanalizacija- S1'!G131</f>
        <v>0</v>
      </c>
      <c r="H47" s="543">
        <f>'Kanalizacija- S1'!H131</f>
        <v>0</v>
      </c>
      <c r="I47" s="529"/>
      <c r="J47" s="413"/>
    </row>
    <row r="48" spans="1:12">
      <c r="A48" s="379" t="s">
        <v>1075</v>
      </c>
      <c r="B48" s="427" t="s">
        <v>641</v>
      </c>
      <c r="C48" s="512">
        <f>+'Kanalizacija- S2'!F21+'Kanalizacija- S2'!F67+'Kanalizacija- S2'!F84+'Kanalizacija- S2'!F96+'Kanalizacija- S2'!F112</f>
        <v>0</v>
      </c>
      <c r="D48" s="424"/>
      <c r="E48" s="474"/>
      <c r="F48" s="516"/>
      <c r="G48" s="518">
        <f>'Kanalizacija- S2'!F114</f>
        <v>0</v>
      </c>
      <c r="H48" s="423"/>
      <c r="I48" s="531"/>
      <c r="J48" s="412"/>
    </row>
    <row r="49" spans="1:10">
      <c r="A49" s="379" t="s">
        <v>1076</v>
      </c>
      <c r="B49" s="427" t="s">
        <v>640</v>
      </c>
      <c r="C49" s="512">
        <f>+'Kanalizacija- S2.1'!F21+'Kanalizacija- S2.1'!F55+'Kanalizacija- S2.1'!F64+'Kanalizacija- S2.1'!F76+'Kanalizacija- S2.1'!F92</f>
        <v>0</v>
      </c>
      <c r="D49" s="424"/>
      <c r="E49" s="474"/>
      <c r="F49" s="516"/>
      <c r="G49" s="518">
        <f>'Kanalizacija- S2.1'!F94</f>
        <v>0</v>
      </c>
      <c r="H49" s="423"/>
      <c r="I49" s="531"/>
      <c r="J49" s="412"/>
    </row>
    <row r="50" spans="1:10">
      <c r="A50" s="379" t="s">
        <v>1077</v>
      </c>
      <c r="B50" s="427" t="s">
        <v>639</v>
      </c>
      <c r="C50" s="512">
        <f>+'Kanalizacija - S3'!F21+'Kanalizacija - S3'!F61+'Kanalizacija - S3'!F72+'Kanalizacija - S3'!F84+'Kanalizacija - S3'!F100</f>
        <v>0</v>
      </c>
      <c r="D50" s="424"/>
      <c r="E50" s="474"/>
      <c r="F50" s="516"/>
      <c r="G50" s="518">
        <f>'Kanalizacija - S3'!F102</f>
        <v>0</v>
      </c>
      <c r="H50" s="423"/>
      <c r="I50" s="531"/>
      <c r="J50" s="412"/>
    </row>
    <row r="51" spans="1:10">
      <c r="A51" s="379" t="s">
        <v>1078</v>
      </c>
      <c r="B51" s="427" t="s">
        <v>638</v>
      </c>
      <c r="C51" s="512">
        <f>+'Kanalizacija - S4'!F21+'Kanalizacija - S4'!F51+'Kanalizacija - S4'!F76+'Kanalizacija - S4'!F92</f>
        <v>0</v>
      </c>
      <c r="D51" s="424"/>
      <c r="E51" s="474"/>
      <c r="F51" s="516"/>
      <c r="G51" s="518">
        <f>'Kanalizacija - S4'!F94</f>
        <v>0</v>
      </c>
      <c r="H51" s="423"/>
      <c r="I51" s="531"/>
      <c r="J51" s="412"/>
    </row>
    <row r="52" spans="1:10">
      <c r="A52" s="379" t="s">
        <v>1079</v>
      </c>
      <c r="B52" s="427" t="s">
        <v>637</v>
      </c>
      <c r="C52" s="512">
        <f>+'Kanalizacija - S5'!F21+'Kanalizacija - S5'!F55+'Kanalizacija - S5'!F64+'Kanalizacija - S5'!F76+'Kanalizacija - S5'!F92</f>
        <v>0</v>
      </c>
      <c r="D52" s="424"/>
      <c r="E52" s="474"/>
      <c r="F52" s="516"/>
      <c r="G52" s="518">
        <f>'Kanalizacija - S5'!F94</f>
        <v>0</v>
      </c>
      <c r="H52" s="423"/>
      <c r="I52" s="531"/>
      <c r="J52" s="412"/>
    </row>
    <row r="53" spans="1:10" ht="14.25" thickBot="1">
      <c r="A53" s="380" t="s">
        <v>1094</v>
      </c>
      <c r="B53" s="417" t="s">
        <v>1095</v>
      </c>
      <c r="C53" s="513">
        <f>+'Kanalizacija - M3'!F22</f>
        <v>0</v>
      </c>
      <c r="D53" s="418"/>
      <c r="E53" s="429"/>
      <c r="F53" s="517">
        <f>'Kanalizacija - M3'!F22</f>
        <v>0</v>
      </c>
      <c r="G53" s="520"/>
      <c r="H53" s="419"/>
      <c r="I53" s="532"/>
      <c r="J53" s="412"/>
    </row>
    <row r="54" spans="1:10" ht="14.25" thickBot="1">
      <c r="A54" s="381"/>
      <c r="B54" s="172"/>
      <c r="C54" s="172"/>
      <c r="D54" s="173"/>
      <c r="E54" s="416"/>
      <c r="F54" s="475"/>
      <c r="G54" s="469"/>
      <c r="H54" s="430"/>
      <c r="J54" s="412"/>
    </row>
    <row r="55" spans="1:10" ht="14.25" thickBot="1">
      <c r="A55" s="378" t="s">
        <v>61</v>
      </c>
      <c r="B55" s="1327" t="s">
        <v>204</v>
      </c>
      <c r="C55" s="1328"/>
      <c r="D55" s="171">
        <f>SUM(C56:C58)</f>
        <v>0</v>
      </c>
      <c r="E55" s="376">
        <f>F55+G55</f>
        <v>0</v>
      </c>
      <c r="F55" s="472">
        <v>0</v>
      </c>
      <c r="G55" s="171">
        <f>+SUM(G56:G58)</f>
        <v>0</v>
      </c>
      <c r="H55" s="384">
        <f>+SUM(H56:H58)</f>
        <v>0</v>
      </c>
      <c r="I55" s="531"/>
      <c r="J55" s="431"/>
    </row>
    <row r="56" spans="1:10">
      <c r="A56" s="379" t="s">
        <v>1080</v>
      </c>
      <c r="B56" s="414" t="s">
        <v>205</v>
      </c>
      <c r="C56" s="512">
        <f>Vodovod!$H$41</f>
        <v>0</v>
      </c>
      <c r="D56" s="415"/>
      <c r="E56" s="474"/>
      <c r="F56" s="474"/>
      <c r="G56" s="518">
        <f>Vodovod!F41</f>
        <v>0</v>
      </c>
      <c r="H56" s="543">
        <f>Vodovod!$G$41</f>
        <v>0</v>
      </c>
      <c r="I56" s="544"/>
      <c r="J56" s="431"/>
    </row>
    <row r="57" spans="1:10">
      <c r="A57" s="379" t="s">
        <v>1081</v>
      </c>
      <c r="B57" s="427" t="s">
        <v>206</v>
      </c>
      <c r="C57" s="512">
        <f>Vodovod!$H$43</f>
        <v>0</v>
      </c>
      <c r="D57" s="424"/>
      <c r="E57" s="474"/>
      <c r="F57" s="474"/>
      <c r="G57" s="518">
        <f>Vodovod!F43</f>
        <v>0</v>
      </c>
      <c r="H57" s="543">
        <v>0</v>
      </c>
      <c r="I57" s="531"/>
      <c r="J57" s="432"/>
    </row>
    <row r="58" spans="1:10" ht="14.25" thickBot="1">
      <c r="A58" s="380" t="s">
        <v>1446</v>
      </c>
      <c r="B58" s="417" t="s">
        <v>1447</v>
      </c>
      <c r="C58" s="513">
        <f>Vodovod!$H$45</f>
        <v>0</v>
      </c>
      <c r="D58" s="418"/>
      <c r="E58" s="429"/>
      <c r="F58" s="429"/>
      <c r="G58" s="520">
        <f>Vodovod!F45</f>
        <v>0</v>
      </c>
      <c r="H58" s="542">
        <v>0</v>
      </c>
      <c r="I58" s="532"/>
      <c r="J58" s="432"/>
    </row>
    <row r="59" spans="1:10" ht="14.25" thickBot="1">
      <c r="A59" s="381"/>
      <c r="B59" s="172"/>
      <c r="C59" s="172"/>
      <c r="D59" s="173"/>
      <c r="E59" s="416"/>
      <c r="F59" s="475"/>
      <c r="G59" s="469"/>
      <c r="H59" s="430"/>
      <c r="J59" s="412"/>
    </row>
    <row r="60" spans="1:10" ht="14.25" thickBot="1">
      <c r="A60" s="378" t="s">
        <v>62</v>
      </c>
      <c r="B60" s="1327" t="s">
        <v>64</v>
      </c>
      <c r="C60" s="1328"/>
      <c r="D60" s="171">
        <f>SUM(C61:C64)</f>
        <v>0</v>
      </c>
      <c r="E60" s="376">
        <f>F60+G60</f>
        <v>0</v>
      </c>
      <c r="F60" s="472">
        <f>+SUM(F61:F64)</f>
        <v>0</v>
      </c>
      <c r="G60" s="467">
        <f>+SUM(G61:G64)</f>
        <v>0</v>
      </c>
      <c r="H60" s="384">
        <f>+SUM(H61:H64)</f>
        <v>0</v>
      </c>
      <c r="I60" s="531"/>
      <c r="J60" s="412"/>
    </row>
    <row r="61" spans="1:10">
      <c r="A61" s="379" t="s">
        <v>1082</v>
      </c>
      <c r="B61" s="414" t="s">
        <v>1559</v>
      </c>
      <c r="C61" s="512">
        <f>+'NN priključek'!F49</f>
        <v>0</v>
      </c>
      <c r="D61" s="415"/>
      <c r="E61" s="474"/>
      <c r="F61" s="474"/>
      <c r="G61" s="422"/>
      <c r="H61" s="543">
        <f>C61</f>
        <v>0</v>
      </c>
      <c r="I61" s="531"/>
      <c r="J61" s="412"/>
    </row>
    <row r="62" spans="1:10">
      <c r="A62" s="379" t="s">
        <v>1083</v>
      </c>
      <c r="B62" s="427" t="s">
        <v>1560</v>
      </c>
      <c r="C62" s="512">
        <f>'ELEKTRO NN+ZR'!$F$258</f>
        <v>0</v>
      </c>
      <c r="D62" s="424"/>
      <c r="E62" s="474"/>
      <c r="F62" s="516">
        <f>'ELEKTRO NN+ZR'!$G$258</f>
        <v>0</v>
      </c>
      <c r="G62" s="518">
        <f>'ELEKTRO NN+ZR'!$H$258</f>
        <v>0</v>
      </c>
      <c r="H62" s="423"/>
      <c r="I62" s="529"/>
      <c r="J62" s="412"/>
    </row>
    <row r="63" spans="1:10">
      <c r="A63" s="379" t="s">
        <v>1084</v>
      </c>
      <c r="B63" s="427" t="s">
        <v>1561</v>
      </c>
      <c r="C63" s="512">
        <f>+TK!F27</f>
        <v>0</v>
      </c>
      <c r="D63" s="424"/>
      <c r="E63" s="474"/>
      <c r="F63" s="516"/>
      <c r="G63" s="518">
        <f>TK!$F$27</f>
        <v>0</v>
      </c>
      <c r="H63" s="423"/>
      <c r="I63" s="531"/>
      <c r="J63" s="412"/>
    </row>
    <row r="64" spans="1:10" ht="14.25" thickBot="1">
      <c r="A64" s="380" t="s">
        <v>1562</v>
      </c>
      <c r="B64" s="417" t="s">
        <v>209</v>
      </c>
      <c r="C64" s="513">
        <f>+VIDEO!F38</f>
        <v>0</v>
      </c>
      <c r="D64" s="418"/>
      <c r="E64" s="429"/>
      <c r="F64" s="517">
        <f>C64</f>
        <v>0</v>
      </c>
      <c r="G64" s="520"/>
      <c r="H64" s="419"/>
      <c r="I64" s="532"/>
      <c r="J64" s="412"/>
    </row>
    <row r="65" spans="1:10" ht="14.25" thickBot="1">
      <c r="A65" s="381"/>
      <c r="B65" s="172"/>
      <c r="C65" s="172"/>
      <c r="D65" s="173"/>
      <c r="E65" s="416"/>
      <c r="F65" s="475"/>
      <c r="G65" s="469"/>
      <c r="H65" s="430"/>
      <c r="J65" s="412"/>
    </row>
    <row r="66" spans="1:10" ht="15" customHeight="1" thickBot="1">
      <c r="A66" s="1352" t="s">
        <v>8</v>
      </c>
      <c r="B66" s="1353"/>
      <c r="C66" s="1354"/>
      <c r="D66" s="171">
        <f>SUM(D15:D65)</f>
        <v>0</v>
      </c>
      <c r="E66" s="550">
        <f>E15+E19+E24+E33+E38+E41+E46+E55+E60</f>
        <v>0</v>
      </c>
      <c r="F66" s="551">
        <f>+F15+F19+F24+F33+F38+F41+F46+F55+F60</f>
        <v>0</v>
      </c>
      <c r="G66" s="552">
        <f>+G15+G19+G24+G33+G38+G41+G46+G55+G60</f>
        <v>0</v>
      </c>
      <c r="H66" s="553">
        <f>+H15+H19+H24+H33+H38+H41+H46+H55+H60</f>
        <v>0</v>
      </c>
      <c r="J66" s="431"/>
    </row>
    <row r="67" spans="1:10" s="409" customFormat="1" ht="15" customHeight="1" thickBot="1">
      <c r="A67" s="1335" t="s">
        <v>18</v>
      </c>
      <c r="B67" s="1336"/>
      <c r="C67" s="1337"/>
      <c r="D67" s="554">
        <f>+D66*0.1</f>
        <v>0</v>
      </c>
      <c r="E67" s="406"/>
      <c r="F67" s="555"/>
      <c r="G67" s="556">
        <f>+E66*0.1</f>
        <v>0</v>
      </c>
      <c r="H67" s="557">
        <f>+H66*0.1</f>
        <v>0</v>
      </c>
      <c r="I67" s="526"/>
    </row>
    <row r="68" spans="1:10" s="409" customFormat="1" ht="15" customHeight="1" thickBot="1">
      <c r="A68" s="1331" t="s">
        <v>19</v>
      </c>
      <c r="B68" s="1332"/>
      <c r="C68" s="1333"/>
      <c r="D68" s="558">
        <f>D66+D67</f>
        <v>0</v>
      </c>
      <c r="E68" s="559">
        <f t="shared" ref="E68:H68" si="0">E66+E67</f>
        <v>0</v>
      </c>
      <c r="F68" s="560">
        <f t="shared" si="0"/>
        <v>0</v>
      </c>
      <c r="G68" s="561">
        <f t="shared" si="0"/>
        <v>0</v>
      </c>
      <c r="H68" s="562">
        <f t="shared" si="0"/>
        <v>0</v>
      </c>
      <c r="I68" s="526"/>
    </row>
    <row r="69" spans="1:10" s="409" customFormat="1" ht="15" customHeight="1" thickTop="1" thickBot="1">
      <c r="A69" s="383"/>
      <c r="B69" s="176"/>
      <c r="C69" s="176"/>
      <c r="D69" s="176"/>
      <c r="E69" s="406"/>
      <c r="F69" s="476"/>
      <c r="G69" s="470"/>
      <c r="H69" s="433"/>
      <c r="I69" s="526"/>
    </row>
    <row r="70" spans="1:10" s="409" customFormat="1" ht="14.25" thickBot="1">
      <c r="A70" s="1313" t="s">
        <v>44</v>
      </c>
      <c r="B70" s="1314"/>
      <c r="C70" s="1334"/>
      <c r="D70" s="434">
        <f>D68</f>
        <v>0</v>
      </c>
      <c r="E70" s="377">
        <f t="shared" ref="E70:H70" si="1">E68</f>
        <v>0</v>
      </c>
      <c r="F70" s="477">
        <f t="shared" si="1"/>
        <v>0</v>
      </c>
      <c r="G70" s="471">
        <f t="shared" si="1"/>
        <v>0</v>
      </c>
      <c r="H70" s="385">
        <f t="shared" si="1"/>
        <v>0</v>
      </c>
      <c r="I70" s="526"/>
    </row>
    <row r="71" spans="1:10" s="409" customFormat="1" ht="16.5" customHeight="1" thickBot="1">
      <c r="A71" s="1319" t="s">
        <v>14</v>
      </c>
      <c r="B71" s="1320"/>
      <c r="C71" s="1330"/>
      <c r="D71" s="434">
        <f>D70*0.22</f>
        <v>0</v>
      </c>
      <c r="E71" s="377">
        <f t="shared" ref="E71:H71" si="2">E70*0.22</f>
        <v>0</v>
      </c>
      <c r="F71" s="477">
        <f t="shared" si="2"/>
        <v>0</v>
      </c>
      <c r="G71" s="471">
        <f t="shared" si="2"/>
        <v>0</v>
      </c>
      <c r="H71" s="385">
        <f t="shared" si="2"/>
        <v>0</v>
      </c>
      <c r="I71" s="526"/>
    </row>
    <row r="72" spans="1:10" s="409" customFormat="1" ht="16.5" customHeight="1" thickBot="1">
      <c r="A72" s="1319" t="s">
        <v>17</v>
      </c>
      <c r="B72" s="1320"/>
      <c r="C72" s="1330"/>
      <c r="D72" s="563">
        <f>D70+D71</f>
        <v>0</v>
      </c>
      <c r="E72" s="564">
        <f t="shared" ref="E72:H72" si="3">E70+E71</f>
        <v>0</v>
      </c>
      <c r="F72" s="565">
        <f t="shared" si="3"/>
        <v>0</v>
      </c>
      <c r="G72" s="566">
        <f t="shared" si="3"/>
        <v>0</v>
      </c>
      <c r="H72" s="567">
        <f t="shared" si="3"/>
        <v>0</v>
      </c>
      <c r="I72" s="526"/>
    </row>
    <row r="73" spans="1:10" s="409" customFormat="1" ht="15" customHeight="1">
      <c r="A73" s="176"/>
      <c r="B73" s="176"/>
      <c r="C73" s="176"/>
      <c r="D73" s="176"/>
      <c r="I73" s="526"/>
    </row>
    <row r="74" spans="1:10" ht="54.75" customHeight="1">
      <c r="A74" s="1329" t="s">
        <v>13</v>
      </c>
      <c r="B74" s="1329"/>
      <c r="C74" s="1329"/>
      <c r="D74" s="1329"/>
      <c r="E74" s="412"/>
    </row>
    <row r="75" spans="1:10" ht="27.75" customHeight="1">
      <c r="A75" s="1326" t="s">
        <v>1710</v>
      </c>
      <c r="B75" s="1326"/>
      <c r="C75" s="1326"/>
      <c r="D75" s="1326"/>
      <c r="E75" s="412"/>
    </row>
    <row r="76" spans="1:10">
      <c r="A76" s="177"/>
      <c r="B76" s="178"/>
      <c r="C76" s="179"/>
      <c r="D76" s="180"/>
    </row>
    <row r="77" spans="1:10" ht="51" customHeight="1">
      <c r="A77" s="1339" t="s">
        <v>29</v>
      </c>
      <c r="B77" s="1339"/>
      <c r="C77" s="1340" t="str">
        <f>Info!B5</f>
        <v>Tadej Pfajfar, 
univ. dipl. inž. geod.</v>
      </c>
      <c r="D77" s="1340"/>
      <c r="E77" s="412"/>
    </row>
    <row r="78" spans="1:10" ht="15" customHeight="1">
      <c r="A78" s="1339" t="s">
        <v>37</v>
      </c>
      <c r="B78" s="1339"/>
      <c r="C78" s="1340">
        <f>Info!B3</f>
        <v>8697</v>
      </c>
      <c r="D78" s="1340"/>
      <c r="E78" s="412"/>
    </row>
    <row r="79" spans="1:10" ht="31.5" customHeight="1">
      <c r="A79" s="1339" t="s">
        <v>36</v>
      </c>
      <c r="B79" s="1339"/>
      <c r="C79" s="1338" t="s">
        <v>1711</v>
      </c>
      <c r="D79" s="1339"/>
      <c r="E79" s="412"/>
    </row>
    <row r="80" spans="1:10">
      <c r="A80" s="435"/>
      <c r="B80" s="181"/>
      <c r="C80" s="181"/>
      <c r="D80" s="436"/>
    </row>
  </sheetData>
  <sheetProtection algorithmName="SHA-512" hashValue="dCh+adaGtxLp5t1VBZYDsMR2ZtarNlkU3yVvmXKa86qb+iJDzQ5L3MaYb8FftCYAGhbkwkEpbkFofPWsZN+3JA==" saltValue="Aov4ZxA4/ST8stu4CKaRGw==" spinCount="100000" sheet="1" objects="1" scenarios="1" selectLockedCells="1"/>
  <customSheetViews>
    <customSheetView guid="{14FA32B8-8DA0-4B39-A6E2-254F8891DDCC}" scale="96" showPageBreaks="1" fitToPage="1" printArea="1" hiddenColumns="1" view="pageBreakPreview" topLeftCell="A13">
      <selection activeCell="M40" sqref="M40"/>
      <pageMargins left="0.7" right="0.7" top="0.75" bottom="0.75" header="0.3" footer="0.3"/>
      <pageSetup paperSize="9" scale="62" orientation="portrait" useFirstPageNumber="1" r:id="rId1"/>
      <headerFooter>
        <oddFooter>&amp;C&amp;P</oddFooter>
      </headerFooter>
    </customSheetView>
  </customSheetViews>
  <mergeCells count="33">
    <mergeCell ref="E13:G13"/>
    <mergeCell ref="A13:B14"/>
    <mergeCell ref="C13:D14"/>
    <mergeCell ref="H13:H14"/>
    <mergeCell ref="A71:C71"/>
    <mergeCell ref="A66:C66"/>
    <mergeCell ref="C79:D79"/>
    <mergeCell ref="C78:D78"/>
    <mergeCell ref="A77:B77"/>
    <mergeCell ref="A78:B78"/>
    <mergeCell ref="A79:B79"/>
    <mergeCell ref="C77:D77"/>
    <mergeCell ref="A75:D75"/>
    <mergeCell ref="B19:C19"/>
    <mergeCell ref="B15:C15"/>
    <mergeCell ref="B38:C38"/>
    <mergeCell ref="B60:C60"/>
    <mergeCell ref="B41:C41"/>
    <mergeCell ref="B46:C46"/>
    <mergeCell ref="B55:C55"/>
    <mergeCell ref="B24:C24"/>
    <mergeCell ref="B33:C33"/>
    <mergeCell ref="A74:D74"/>
    <mergeCell ref="A72:C72"/>
    <mergeCell ref="A68:C68"/>
    <mergeCell ref="A70:C70"/>
    <mergeCell ref="A67:C67"/>
    <mergeCell ref="A10:A11"/>
    <mergeCell ref="D10:D11"/>
    <mergeCell ref="A6:D6"/>
    <mergeCell ref="A8:D8"/>
    <mergeCell ref="A7:D7"/>
    <mergeCell ref="B10:C11"/>
  </mergeCells>
  <phoneticPr fontId="35" type="noConversion"/>
  <pageMargins left="0.7" right="0.7" top="0.75" bottom="0.75" header="0.3" footer="0.3"/>
  <pageSetup paperSize="9" scale="48" orientation="portrait" useFirstPageNumber="1" r:id="rId2"/>
  <headerFooter>
    <oddFooter>&amp;C&amp;P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A1:AQ300"/>
  <sheetViews>
    <sheetView view="pageBreakPreview" zoomScale="80" zoomScaleNormal="100" zoomScaleSheetLayoutView="80" workbookViewId="0">
      <pane ySplit="6" topLeftCell="A280" activePane="bottomLeft" state="frozen"/>
      <selection pane="bottomLeft" activeCell="E279" sqref="E279"/>
    </sheetView>
  </sheetViews>
  <sheetFormatPr defaultRowHeight="15"/>
  <cols>
    <col min="1" max="1" width="10.42578125" style="68" bestFit="1" customWidth="1"/>
    <col min="2" max="2" width="75.5703125" style="69" customWidth="1"/>
    <col min="3" max="3" width="6.42578125" style="65" bestFit="1" customWidth="1"/>
    <col min="4" max="4" width="9.42578125" style="66" bestFit="1" customWidth="1"/>
    <col min="5" max="5" width="11" style="67" bestFit="1" customWidth="1"/>
    <col min="6" max="6" width="13.7109375" style="70" bestFit="1" customWidth="1"/>
    <col min="8" max="8" width="63.42578125" customWidth="1"/>
  </cols>
  <sheetData>
    <row r="1" spans="1:43">
      <c r="A1" s="1355" t="str">
        <f>Info!B1</f>
        <v>UREDITEV RAFUTSKEGA PARKA Z LAŠČAKOVO VILO - Park</v>
      </c>
      <c r="B1" s="1356"/>
      <c r="C1" s="1356"/>
      <c r="D1" s="1356"/>
      <c r="E1" s="1356"/>
      <c r="F1" s="1357"/>
    </row>
    <row r="2" spans="1:43" ht="15.75" thickBot="1">
      <c r="A2" s="1358"/>
      <c r="B2" s="1359"/>
      <c r="C2" s="1359"/>
      <c r="D2" s="1359"/>
      <c r="E2" s="1359"/>
      <c r="F2" s="1360"/>
    </row>
    <row r="3" spans="1:43" ht="15.75" thickBot="1">
      <c r="A3" s="1361"/>
      <c r="B3" s="1362"/>
      <c r="C3" s="5"/>
      <c r="D3" s="572"/>
      <c r="E3" s="573"/>
      <c r="F3" s="574"/>
    </row>
    <row r="4" spans="1:43" ht="18" thickBot="1">
      <c r="A4" s="1363" t="s">
        <v>860</v>
      </c>
      <c r="B4" s="1364"/>
      <c r="C4" s="1364"/>
      <c r="D4" s="1364"/>
      <c r="E4" s="1364"/>
      <c r="F4" s="1365"/>
    </row>
    <row r="5" spans="1:43">
      <c r="A5" s="577"/>
      <c r="B5" s="578"/>
      <c r="C5" s="579"/>
      <c r="D5" s="579"/>
      <c r="E5" s="580"/>
      <c r="F5" s="580"/>
    </row>
    <row r="6" spans="1:43" ht="85.5">
      <c r="A6" s="582" t="s">
        <v>1</v>
      </c>
      <c r="B6" s="583" t="s">
        <v>2</v>
      </c>
      <c r="C6" s="584" t="s">
        <v>4</v>
      </c>
      <c r="D6" s="585" t="s">
        <v>9</v>
      </c>
      <c r="E6" s="586" t="s">
        <v>5</v>
      </c>
      <c r="F6" s="588" t="s">
        <v>1613</v>
      </c>
    </row>
    <row r="7" spans="1:43" ht="15.75" thickBot="1">
      <c r="A7" s="589"/>
      <c r="B7" s="590"/>
      <c r="C7" s="591"/>
      <c r="D7" s="592"/>
      <c r="E7" s="593"/>
      <c r="F7" s="595"/>
    </row>
    <row r="8" spans="1:43" ht="18" thickBot="1">
      <c r="A8" s="596" t="s">
        <v>834</v>
      </c>
      <c r="B8" s="597" t="s">
        <v>859</v>
      </c>
      <c r="C8" s="598"/>
      <c r="D8" s="599"/>
      <c r="E8" s="600"/>
      <c r="F8" s="601"/>
      <c r="I8" s="145"/>
    </row>
    <row r="9" spans="1:43">
      <c r="A9" s="27"/>
      <c r="B9" s="28"/>
      <c r="C9" s="29"/>
      <c r="D9" s="30"/>
      <c r="E9" s="31"/>
      <c r="F9" s="32"/>
    </row>
    <row r="10" spans="1:43">
      <c r="A10" s="33" t="s">
        <v>834</v>
      </c>
      <c r="B10" s="61" t="s">
        <v>859</v>
      </c>
      <c r="C10" s="34"/>
      <c r="D10" s="35"/>
      <c r="E10" s="36"/>
      <c r="F10" s="37"/>
    </row>
    <row r="11" spans="1:43">
      <c r="A11" s="33"/>
      <c r="B11" s="61"/>
      <c r="C11" s="34"/>
      <c r="D11" s="35"/>
      <c r="E11" s="36"/>
      <c r="F11" s="37"/>
    </row>
    <row r="12" spans="1:43">
      <c r="A12" s="38" t="s">
        <v>1102</v>
      </c>
      <c r="B12" s="218" t="s">
        <v>1103</v>
      </c>
      <c r="C12" s="62" t="s">
        <v>10</v>
      </c>
      <c r="D12" s="35">
        <v>50</v>
      </c>
      <c r="E12" s="732"/>
      <c r="F12" s="37">
        <f>D12*E12</f>
        <v>0</v>
      </c>
    </row>
    <row r="13" spans="1:43">
      <c r="A13" s="33"/>
      <c r="B13" s="61"/>
      <c r="C13" s="34"/>
      <c r="D13" s="35"/>
      <c r="E13" s="36"/>
      <c r="F13" s="37"/>
    </row>
    <row r="14" spans="1:43" s="4" customFormat="1" ht="14.25">
      <c r="A14" s="33"/>
      <c r="B14" s="61" t="s">
        <v>458</v>
      </c>
      <c r="C14" s="34"/>
      <c r="D14" s="35"/>
      <c r="E14" s="36"/>
      <c r="F14" s="37"/>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1:43" ht="28.5">
      <c r="A15" s="38" t="s">
        <v>861</v>
      </c>
      <c r="B15" s="208" t="s">
        <v>457</v>
      </c>
      <c r="C15" s="62" t="s">
        <v>10</v>
      </c>
      <c r="D15" s="63">
        <v>1</v>
      </c>
      <c r="E15" s="679"/>
      <c r="F15" s="41">
        <f>D15*E15</f>
        <v>0</v>
      </c>
    </row>
    <row r="16" spans="1:43">
      <c r="A16" s="38" t="s">
        <v>863</v>
      </c>
      <c r="B16" s="39" t="s">
        <v>435</v>
      </c>
      <c r="C16" s="62" t="s">
        <v>40</v>
      </c>
      <c r="D16" s="63">
        <f>D15*(1.2*1.2*0.9)</f>
        <v>1.296</v>
      </c>
      <c r="E16" s="679"/>
      <c r="F16" s="41">
        <f>D16*E16</f>
        <v>0</v>
      </c>
    </row>
    <row r="17" spans="1:6" ht="28.5">
      <c r="A17" s="38" t="s">
        <v>862</v>
      </c>
      <c r="B17" s="39" t="s">
        <v>399</v>
      </c>
      <c r="C17" s="62" t="s">
        <v>40</v>
      </c>
      <c r="D17" s="63">
        <f>D15*(1.2*1.2*0.9)</f>
        <v>1.296</v>
      </c>
      <c r="E17" s="679"/>
      <c r="F17" s="41">
        <f>D17*E17</f>
        <v>0</v>
      </c>
    </row>
    <row r="18" spans="1:6" ht="28.5">
      <c r="A18" s="38" t="s">
        <v>865</v>
      </c>
      <c r="B18" s="39" t="s">
        <v>456</v>
      </c>
      <c r="C18" s="62" t="s">
        <v>10</v>
      </c>
      <c r="D18" s="63">
        <f>D15*3</f>
        <v>3</v>
      </c>
      <c r="E18" s="679"/>
      <c r="F18" s="41">
        <f>D18*E18</f>
        <v>0</v>
      </c>
    </row>
    <row r="19" spans="1:6">
      <c r="A19" s="38" t="s">
        <v>866</v>
      </c>
      <c r="B19" s="39" t="s">
        <v>433</v>
      </c>
      <c r="C19" s="62" t="s">
        <v>10</v>
      </c>
      <c r="D19" s="63">
        <f>D15</f>
        <v>1</v>
      </c>
      <c r="E19" s="679"/>
      <c r="F19" s="41">
        <f>D19*E19</f>
        <v>0</v>
      </c>
    </row>
    <row r="20" spans="1:6">
      <c r="A20" s="38"/>
      <c r="B20" s="39"/>
      <c r="C20" s="62"/>
      <c r="D20" s="63"/>
      <c r="E20" s="64"/>
      <c r="F20" s="41"/>
    </row>
    <row r="21" spans="1:6" ht="28.5">
      <c r="A21" s="38" t="s">
        <v>867</v>
      </c>
      <c r="B21" s="208" t="s">
        <v>455</v>
      </c>
      <c r="C21" s="62" t="s">
        <v>10</v>
      </c>
      <c r="D21" s="63">
        <v>2</v>
      </c>
      <c r="E21" s="679"/>
      <c r="F21" s="41">
        <f>D21*E21</f>
        <v>0</v>
      </c>
    </row>
    <row r="22" spans="1:6">
      <c r="A22" s="38" t="s">
        <v>864</v>
      </c>
      <c r="B22" s="39" t="s">
        <v>435</v>
      </c>
      <c r="C22" s="62" t="s">
        <v>40</v>
      </c>
      <c r="D22" s="63">
        <f>D21*(1.2*1.2*0.9)</f>
        <v>2.5920000000000001</v>
      </c>
      <c r="E22" s="679"/>
      <c r="F22" s="41">
        <f>D22*E22</f>
        <v>0</v>
      </c>
    </row>
    <row r="23" spans="1:6" ht="28.5">
      <c r="A23" s="38" t="s">
        <v>868</v>
      </c>
      <c r="B23" s="39" t="s">
        <v>399</v>
      </c>
      <c r="C23" s="62" t="s">
        <v>40</v>
      </c>
      <c r="D23" s="63">
        <f>D21*(1.2*1.2*0.9)</f>
        <v>2.5920000000000001</v>
      </c>
      <c r="E23" s="679"/>
      <c r="F23" s="41">
        <f>D23*E23</f>
        <v>0</v>
      </c>
    </row>
    <row r="24" spans="1:6" ht="28.5">
      <c r="A24" s="38" t="s">
        <v>869</v>
      </c>
      <c r="B24" s="39" t="s">
        <v>434</v>
      </c>
      <c r="C24" s="62" t="s">
        <v>10</v>
      </c>
      <c r="D24" s="63">
        <f>D21*3</f>
        <v>6</v>
      </c>
      <c r="E24" s="679"/>
      <c r="F24" s="41">
        <f>D24*E24</f>
        <v>0</v>
      </c>
    </row>
    <row r="25" spans="1:6">
      <c r="A25" s="38" t="s">
        <v>870</v>
      </c>
      <c r="B25" s="39" t="s">
        <v>433</v>
      </c>
      <c r="C25" s="62" t="s">
        <v>10</v>
      </c>
      <c r="D25" s="63">
        <f>D21</f>
        <v>2</v>
      </c>
      <c r="E25" s="679"/>
      <c r="F25" s="41">
        <f>D25*E25</f>
        <v>0</v>
      </c>
    </row>
    <row r="26" spans="1:6">
      <c r="A26" s="38"/>
      <c r="B26" s="39"/>
      <c r="C26" s="62"/>
      <c r="D26" s="63"/>
      <c r="E26" s="64"/>
      <c r="F26" s="41"/>
    </row>
    <row r="27" spans="1:6" ht="28.5">
      <c r="A27" s="38" t="s">
        <v>871</v>
      </c>
      <c r="B27" s="208" t="s">
        <v>454</v>
      </c>
      <c r="C27" s="62" t="s">
        <v>10</v>
      </c>
      <c r="D27" s="63">
        <v>1</v>
      </c>
      <c r="E27" s="679"/>
      <c r="F27" s="41">
        <f>D27*E27</f>
        <v>0</v>
      </c>
    </row>
    <row r="28" spans="1:6">
      <c r="A28" s="38" t="s">
        <v>872</v>
      </c>
      <c r="B28" s="39" t="s">
        <v>435</v>
      </c>
      <c r="C28" s="62" t="s">
        <v>40</v>
      </c>
      <c r="D28" s="63">
        <f>D27*(1.2*1.2*0.9)</f>
        <v>1.296</v>
      </c>
      <c r="E28" s="679"/>
      <c r="F28" s="41">
        <f>D28*E28</f>
        <v>0</v>
      </c>
    </row>
    <row r="29" spans="1:6" ht="28.5">
      <c r="A29" s="38" t="s">
        <v>873</v>
      </c>
      <c r="B29" s="39" t="s">
        <v>399</v>
      </c>
      <c r="C29" s="62" t="s">
        <v>40</v>
      </c>
      <c r="D29" s="63">
        <f>D27*(1.2*1.2*0.9)</f>
        <v>1.296</v>
      </c>
      <c r="E29" s="679"/>
      <c r="F29" s="41">
        <f>D29*E29</f>
        <v>0</v>
      </c>
    </row>
    <row r="30" spans="1:6" ht="28.5">
      <c r="A30" s="38" t="s">
        <v>874</v>
      </c>
      <c r="B30" s="39" t="s">
        <v>434</v>
      </c>
      <c r="C30" s="62" t="s">
        <v>10</v>
      </c>
      <c r="D30" s="63">
        <f>D27*3</f>
        <v>3</v>
      </c>
      <c r="E30" s="679"/>
      <c r="F30" s="41">
        <f>D30*E30</f>
        <v>0</v>
      </c>
    </row>
    <row r="31" spans="1:6">
      <c r="A31" s="38" t="s">
        <v>875</v>
      </c>
      <c r="B31" s="39" t="s">
        <v>433</v>
      </c>
      <c r="C31" s="62" t="s">
        <v>10</v>
      </c>
      <c r="D31" s="63">
        <f>D27</f>
        <v>1</v>
      </c>
      <c r="E31" s="679"/>
      <c r="F31" s="41">
        <f>D31*E31</f>
        <v>0</v>
      </c>
    </row>
    <row r="32" spans="1:6">
      <c r="A32" s="38"/>
      <c r="B32" s="39"/>
      <c r="C32" s="62"/>
      <c r="D32" s="63"/>
      <c r="E32" s="64"/>
      <c r="F32" s="41"/>
    </row>
    <row r="33" spans="1:6" ht="28.5">
      <c r="A33" s="38" t="s">
        <v>876</v>
      </c>
      <c r="B33" s="208" t="s">
        <v>453</v>
      </c>
      <c r="C33" s="62" t="s">
        <v>10</v>
      </c>
      <c r="D33" s="63">
        <v>16</v>
      </c>
      <c r="E33" s="679"/>
      <c r="F33" s="41">
        <f>D33*E33</f>
        <v>0</v>
      </c>
    </row>
    <row r="34" spans="1:6">
      <c r="A34" s="38" t="s">
        <v>877</v>
      </c>
      <c r="B34" s="39" t="s">
        <v>435</v>
      </c>
      <c r="C34" s="62" t="s">
        <v>40</v>
      </c>
      <c r="D34" s="63">
        <f>D33*(1.2*1.2*0.9)</f>
        <v>20.736000000000001</v>
      </c>
      <c r="E34" s="679"/>
      <c r="F34" s="41">
        <f>D34*E34</f>
        <v>0</v>
      </c>
    </row>
    <row r="35" spans="1:6" ht="28.5">
      <c r="A35" s="38" t="s">
        <v>878</v>
      </c>
      <c r="B35" s="39" t="s">
        <v>399</v>
      </c>
      <c r="C35" s="62" t="s">
        <v>40</v>
      </c>
      <c r="D35" s="63">
        <f>D33*(1.2*1.2*0.9)</f>
        <v>20.736000000000001</v>
      </c>
      <c r="E35" s="679"/>
      <c r="F35" s="41">
        <f>D35*E35</f>
        <v>0</v>
      </c>
    </row>
    <row r="36" spans="1:6" ht="28.5">
      <c r="A36" s="38" t="s">
        <v>879</v>
      </c>
      <c r="B36" s="39" t="s">
        <v>434</v>
      </c>
      <c r="C36" s="62" t="s">
        <v>10</v>
      </c>
      <c r="D36" s="63">
        <f>D33*3</f>
        <v>48</v>
      </c>
      <c r="E36" s="679"/>
      <c r="F36" s="41">
        <f>D36*E36</f>
        <v>0</v>
      </c>
    </row>
    <row r="37" spans="1:6">
      <c r="A37" s="38" t="s">
        <v>880</v>
      </c>
      <c r="B37" s="39" t="s">
        <v>433</v>
      </c>
      <c r="C37" s="62" t="s">
        <v>10</v>
      </c>
      <c r="D37" s="63">
        <f>D33</f>
        <v>16</v>
      </c>
      <c r="E37" s="679"/>
      <c r="F37" s="41">
        <f>D37*E37</f>
        <v>0</v>
      </c>
    </row>
    <row r="38" spans="1:6">
      <c r="A38" s="38"/>
      <c r="B38" s="39"/>
      <c r="C38" s="62"/>
      <c r="D38" s="63"/>
      <c r="E38" s="64"/>
      <c r="F38" s="41"/>
    </row>
    <row r="39" spans="1:6" ht="28.5">
      <c r="A39" s="38" t="s">
        <v>881</v>
      </c>
      <c r="B39" s="208" t="s">
        <v>452</v>
      </c>
      <c r="C39" s="62" t="s">
        <v>10</v>
      </c>
      <c r="D39" s="63">
        <v>12</v>
      </c>
      <c r="E39" s="679"/>
      <c r="F39" s="41">
        <f>D39*E39</f>
        <v>0</v>
      </c>
    </row>
    <row r="40" spans="1:6">
      <c r="A40" s="38" t="s">
        <v>882</v>
      </c>
      <c r="B40" s="39" t="s">
        <v>435</v>
      </c>
      <c r="C40" s="62" t="s">
        <v>40</v>
      </c>
      <c r="D40" s="63">
        <f>D39*(1.2*1.2*0.9)</f>
        <v>15.552</v>
      </c>
      <c r="E40" s="679"/>
      <c r="F40" s="41">
        <f>D40*E40</f>
        <v>0</v>
      </c>
    </row>
    <row r="41" spans="1:6" ht="28.5">
      <c r="A41" s="38" t="s">
        <v>883</v>
      </c>
      <c r="B41" s="39" t="s">
        <v>399</v>
      </c>
      <c r="C41" s="62" t="s">
        <v>40</v>
      </c>
      <c r="D41" s="63">
        <f>D39*(1.2*1.2*0.9)</f>
        <v>15.552</v>
      </c>
      <c r="E41" s="679"/>
      <c r="F41" s="41">
        <f>D41*E41</f>
        <v>0</v>
      </c>
    </row>
    <row r="42" spans="1:6" ht="28.5">
      <c r="A42" s="38" t="s">
        <v>884</v>
      </c>
      <c r="B42" s="39" t="s">
        <v>434</v>
      </c>
      <c r="C42" s="62" t="s">
        <v>10</v>
      </c>
      <c r="D42" s="63">
        <f>D39*3</f>
        <v>36</v>
      </c>
      <c r="E42" s="679"/>
      <c r="F42" s="41">
        <f>D42*E42</f>
        <v>0</v>
      </c>
    </row>
    <row r="43" spans="1:6">
      <c r="A43" s="38" t="s">
        <v>885</v>
      </c>
      <c r="B43" s="39" t="s">
        <v>433</v>
      </c>
      <c r="C43" s="62" t="s">
        <v>10</v>
      </c>
      <c r="D43" s="63">
        <f>D39</f>
        <v>12</v>
      </c>
      <c r="E43" s="679"/>
      <c r="F43" s="41">
        <f>D43*E43</f>
        <v>0</v>
      </c>
    </row>
    <row r="44" spans="1:6">
      <c r="A44" s="38"/>
      <c r="B44" s="39"/>
      <c r="C44" s="62"/>
      <c r="D44" s="63"/>
      <c r="E44" s="64"/>
      <c r="F44" s="41"/>
    </row>
    <row r="45" spans="1:6" ht="28.5">
      <c r="A45" s="38" t="s">
        <v>886</v>
      </c>
      <c r="B45" s="208" t="s">
        <v>451</v>
      </c>
      <c r="C45" s="62" t="s">
        <v>10</v>
      </c>
      <c r="D45" s="63">
        <v>4</v>
      </c>
      <c r="E45" s="679"/>
      <c r="F45" s="41">
        <f>D45*E45</f>
        <v>0</v>
      </c>
    </row>
    <row r="46" spans="1:6">
      <c r="A46" s="38" t="s">
        <v>887</v>
      </c>
      <c r="B46" s="39" t="s">
        <v>435</v>
      </c>
      <c r="C46" s="62" t="s">
        <v>40</v>
      </c>
      <c r="D46" s="63">
        <f>D45*(1.2*1.2*0.9)</f>
        <v>5.1840000000000002</v>
      </c>
      <c r="E46" s="679"/>
      <c r="F46" s="41">
        <f>D46*E46</f>
        <v>0</v>
      </c>
    </row>
    <row r="47" spans="1:6" ht="28.5">
      <c r="A47" s="38" t="s">
        <v>888</v>
      </c>
      <c r="B47" s="39" t="s">
        <v>399</v>
      </c>
      <c r="C47" s="62" t="s">
        <v>40</v>
      </c>
      <c r="D47" s="63">
        <f>D45*(1.2*1.2*0.9)</f>
        <v>5.1840000000000002</v>
      </c>
      <c r="E47" s="679"/>
      <c r="F47" s="41">
        <f>D47*E47</f>
        <v>0</v>
      </c>
    </row>
    <row r="48" spans="1:6" ht="28.5">
      <c r="A48" s="38" t="s">
        <v>889</v>
      </c>
      <c r="B48" s="39" t="s">
        <v>434</v>
      </c>
      <c r="C48" s="62" t="s">
        <v>10</v>
      </c>
      <c r="D48" s="63">
        <f>D45*3</f>
        <v>12</v>
      </c>
      <c r="E48" s="679"/>
      <c r="F48" s="41">
        <f>D48*E48</f>
        <v>0</v>
      </c>
    </row>
    <row r="49" spans="1:6">
      <c r="A49" s="38" t="s">
        <v>890</v>
      </c>
      <c r="B49" s="39" t="s">
        <v>433</v>
      </c>
      <c r="C49" s="62" t="s">
        <v>10</v>
      </c>
      <c r="D49" s="63">
        <f>D45</f>
        <v>4</v>
      </c>
      <c r="E49" s="679"/>
      <c r="F49" s="41">
        <f>D49*E49</f>
        <v>0</v>
      </c>
    </row>
    <row r="50" spans="1:6">
      <c r="A50" s="38"/>
      <c r="B50" s="39"/>
      <c r="C50" s="62"/>
      <c r="D50" s="63"/>
      <c r="E50" s="64"/>
      <c r="F50" s="41"/>
    </row>
    <row r="51" spans="1:6" ht="28.5">
      <c r="A51" s="38" t="s">
        <v>891</v>
      </c>
      <c r="B51" s="208" t="s">
        <v>450</v>
      </c>
      <c r="C51" s="62" t="s">
        <v>10</v>
      </c>
      <c r="D51" s="63">
        <v>7</v>
      </c>
      <c r="E51" s="679"/>
      <c r="F51" s="41">
        <f>D51*E51</f>
        <v>0</v>
      </c>
    </row>
    <row r="52" spans="1:6">
      <c r="A52" s="38" t="s">
        <v>892</v>
      </c>
      <c r="B52" s="39" t="s">
        <v>435</v>
      </c>
      <c r="C52" s="62" t="s">
        <v>40</v>
      </c>
      <c r="D52" s="63">
        <f>D51*(1.2*1.2*0.9)</f>
        <v>9.072000000000001</v>
      </c>
      <c r="E52" s="679"/>
      <c r="F52" s="41">
        <f>D52*E52</f>
        <v>0</v>
      </c>
    </row>
    <row r="53" spans="1:6" ht="28.5">
      <c r="A53" s="38" t="s">
        <v>893</v>
      </c>
      <c r="B53" s="39" t="s">
        <v>399</v>
      </c>
      <c r="C53" s="62" t="s">
        <v>40</v>
      </c>
      <c r="D53" s="63">
        <f>D51*(1.2*1.2*0.9)</f>
        <v>9.072000000000001</v>
      </c>
      <c r="E53" s="679"/>
      <c r="F53" s="41">
        <f>D53*E53</f>
        <v>0</v>
      </c>
    </row>
    <row r="54" spans="1:6" ht="28.5">
      <c r="A54" s="38" t="s">
        <v>894</v>
      </c>
      <c r="B54" s="39" t="s">
        <v>434</v>
      </c>
      <c r="C54" s="62" t="s">
        <v>10</v>
      </c>
      <c r="D54" s="63">
        <f>D51*3</f>
        <v>21</v>
      </c>
      <c r="E54" s="679"/>
      <c r="F54" s="41">
        <f>D54*E54</f>
        <v>0</v>
      </c>
    </row>
    <row r="55" spans="1:6">
      <c r="A55" s="38" t="s">
        <v>895</v>
      </c>
      <c r="B55" s="39" t="s">
        <v>433</v>
      </c>
      <c r="C55" s="62" t="s">
        <v>10</v>
      </c>
      <c r="D55" s="63">
        <f>D51</f>
        <v>7</v>
      </c>
      <c r="E55" s="679"/>
      <c r="F55" s="41">
        <f>D55*E55</f>
        <v>0</v>
      </c>
    </row>
    <row r="56" spans="1:6">
      <c r="A56" s="38"/>
      <c r="B56" s="39"/>
      <c r="C56" s="62"/>
      <c r="D56" s="63"/>
      <c r="E56" s="64"/>
      <c r="F56" s="41"/>
    </row>
    <row r="57" spans="1:6" ht="28.5">
      <c r="A57" s="38" t="s">
        <v>896</v>
      </c>
      <c r="B57" s="208" t="s">
        <v>1106</v>
      </c>
      <c r="C57" s="62" t="s">
        <v>10</v>
      </c>
      <c r="D57" s="63">
        <v>2</v>
      </c>
      <c r="E57" s="679"/>
      <c r="F57" s="41">
        <f>D57*E57</f>
        <v>0</v>
      </c>
    </row>
    <row r="58" spans="1:6">
      <c r="A58" s="38" t="s">
        <v>897</v>
      </c>
      <c r="B58" s="39" t="s">
        <v>435</v>
      </c>
      <c r="C58" s="62" t="s">
        <v>40</v>
      </c>
      <c r="D58" s="63">
        <f>D57*(1.2*1.2*0.9)</f>
        <v>2.5920000000000001</v>
      </c>
      <c r="E58" s="679"/>
      <c r="F58" s="41">
        <f>D58*E58</f>
        <v>0</v>
      </c>
    </row>
    <row r="59" spans="1:6" ht="28.5">
      <c r="A59" s="38" t="s">
        <v>898</v>
      </c>
      <c r="B59" s="39" t="s">
        <v>399</v>
      </c>
      <c r="C59" s="62" t="s">
        <v>40</v>
      </c>
      <c r="D59" s="63">
        <f>D57*(1.2*1.2*0.9)</f>
        <v>2.5920000000000001</v>
      </c>
      <c r="E59" s="679"/>
      <c r="F59" s="41">
        <f>D59*E59</f>
        <v>0</v>
      </c>
    </row>
    <row r="60" spans="1:6" ht="28.5">
      <c r="A60" s="38" t="s">
        <v>899</v>
      </c>
      <c r="B60" s="39" t="s">
        <v>434</v>
      </c>
      <c r="C60" s="62" t="s">
        <v>10</v>
      </c>
      <c r="D60" s="63">
        <f>D57*3</f>
        <v>6</v>
      </c>
      <c r="E60" s="679"/>
      <c r="F60" s="41">
        <f>D60*E60</f>
        <v>0</v>
      </c>
    </row>
    <row r="61" spans="1:6">
      <c r="A61" s="38" t="s">
        <v>900</v>
      </c>
      <c r="B61" s="39" t="s">
        <v>433</v>
      </c>
      <c r="C61" s="62" t="s">
        <v>10</v>
      </c>
      <c r="D61" s="63">
        <f>D57</f>
        <v>2</v>
      </c>
      <c r="E61" s="679"/>
      <c r="F61" s="41">
        <f>D61*E61</f>
        <v>0</v>
      </c>
    </row>
    <row r="62" spans="1:6">
      <c r="A62" s="38"/>
      <c r="B62" s="39"/>
      <c r="C62" s="62"/>
      <c r="D62" s="63"/>
      <c r="E62" s="64"/>
      <c r="F62" s="41"/>
    </row>
    <row r="63" spans="1:6" ht="28.5">
      <c r="A63" s="38" t="s">
        <v>901</v>
      </c>
      <c r="B63" s="208" t="s">
        <v>449</v>
      </c>
      <c r="C63" s="62" t="s">
        <v>10</v>
      </c>
      <c r="D63" s="63">
        <v>4</v>
      </c>
      <c r="E63" s="679"/>
      <c r="F63" s="41">
        <f>D63*E63</f>
        <v>0</v>
      </c>
    </row>
    <row r="64" spans="1:6">
      <c r="A64" s="38" t="s">
        <v>902</v>
      </c>
      <c r="B64" s="39" t="s">
        <v>435</v>
      </c>
      <c r="C64" s="62" t="s">
        <v>40</v>
      </c>
      <c r="D64" s="63">
        <f>D63*(1.2*1.2*0.9)</f>
        <v>5.1840000000000002</v>
      </c>
      <c r="E64" s="679"/>
      <c r="F64" s="41">
        <f>D64*E64</f>
        <v>0</v>
      </c>
    </row>
    <row r="65" spans="1:6" ht="28.5">
      <c r="A65" s="38" t="s">
        <v>903</v>
      </c>
      <c r="B65" s="39" t="s">
        <v>399</v>
      </c>
      <c r="C65" s="62" t="s">
        <v>40</v>
      </c>
      <c r="D65" s="63">
        <f>D63*(1.2*1.2*0.9)</f>
        <v>5.1840000000000002</v>
      </c>
      <c r="E65" s="679"/>
      <c r="F65" s="41">
        <f>D65*E65</f>
        <v>0</v>
      </c>
    </row>
    <row r="66" spans="1:6" ht="28.5">
      <c r="A66" s="38" t="s">
        <v>904</v>
      </c>
      <c r="B66" s="39" t="s">
        <v>434</v>
      </c>
      <c r="C66" s="62" t="s">
        <v>10</v>
      </c>
      <c r="D66" s="63">
        <f>D63*3</f>
        <v>12</v>
      </c>
      <c r="E66" s="679"/>
      <c r="F66" s="41">
        <f>D66*E66</f>
        <v>0</v>
      </c>
    </row>
    <row r="67" spans="1:6">
      <c r="A67" s="38" t="s">
        <v>905</v>
      </c>
      <c r="B67" s="39" t="s">
        <v>433</v>
      </c>
      <c r="C67" s="62" t="s">
        <v>10</v>
      </c>
      <c r="D67" s="63">
        <f>D63</f>
        <v>4</v>
      </c>
      <c r="E67" s="679"/>
      <c r="F67" s="41">
        <f>D67*E67</f>
        <v>0</v>
      </c>
    </row>
    <row r="68" spans="1:6">
      <c r="A68" s="38"/>
      <c r="B68" s="39"/>
      <c r="C68" s="62"/>
      <c r="D68" s="63"/>
      <c r="E68" s="64"/>
      <c r="F68" s="41"/>
    </row>
    <row r="69" spans="1:6" ht="28.5">
      <c r="A69" s="38" t="s">
        <v>906</v>
      </c>
      <c r="B69" s="208" t="s">
        <v>1107</v>
      </c>
      <c r="C69" s="62" t="s">
        <v>10</v>
      </c>
      <c r="D69" s="63">
        <v>4</v>
      </c>
      <c r="E69" s="679"/>
      <c r="F69" s="41">
        <f>D69*E69</f>
        <v>0</v>
      </c>
    </row>
    <row r="70" spans="1:6">
      <c r="A70" s="38" t="s">
        <v>907</v>
      </c>
      <c r="B70" s="39" t="s">
        <v>435</v>
      </c>
      <c r="C70" s="62" t="s">
        <v>40</v>
      </c>
      <c r="D70" s="63">
        <f>D69*(1.2*1.2*0.9)</f>
        <v>5.1840000000000002</v>
      </c>
      <c r="E70" s="679"/>
      <c r="F70" s="41">
        <f>D70*E70</f>
        <v>0</v>
      </c>
    </row>
    <row r="71" spans="1:6" ht="28.5">
      <c r="A71" s="38" t="s">
        <v>908</v>
      </c>
      <c r="B71" s="39" t="s">
        <v>399</v>
      </c>
      <c r="C71" s="62" t="s">
        <v>40</v>
      </c>
      <c r="D71" s="63">
        <f>D69*(1.2*1.2*0.9)</f>
        <v>5.1840000000000002</v>
      </c>
      <c r="E71" s="679"/>
      <c r="F71" s="41">
        <f>D71*E71</f>
        <v>0</v>
      </c>
    </row>
    <row r="72" spans="1:6" ht="28.5">
      <c r="A72" s="38" t="s">
        <v>909</v>
      </c>
      <c r="B72" s="39" t="s">
        <v>434</v>
      </c>
      <c r="C72" s="62" t="s">
        <v>10</v>
      </c>
      <c r="D72" s="63">
        <f>D69*3</f>
        <v>12</v>
      </c>
      <c r="E72" s="679"/>
      <c r="F72" s="41">
        <f>D72*E72</f>
        <v>0</v>
      </c>
    </row>
    <row r="73" spans="1:6">
      <c r="A73" s="38" t="s">
        <v>910</v>
      </c>
      <c r="B73" s="39" t="s">
        <v>433</v>
      </c>
      <c r="C73" s="62" t="s">
        <v>10</v>
      </c>
      <c r="D73" s="63">
        <f>D69</f>
        <v>4</v>
      </c>
      <c r="E73" s="679"/>
      <c r="F73" s="41">
        <f>D73*E73</f>
        <v>0</v>
      </c>
    </row>
    <row r="74" spans="1:6">
      <c r="A74" s="38"/>
      <c r="B74" s="39"/>
      <c r="C74" s="62"/>
      <c r="D74" s="63"/>
      <c r="E74" s="64"/>
      <c r="F74" s="41"/>
    </row>
    <row r="75" spans="1:6" ht="28.5">
      <c r="A75" s="38" t="s">
        <v>911</v>
      </c>
      <c r="B75" s="208" t="s">
        <v>448</v>
      </c>
      <c r="C75" s="62" t="s">
        <v>10</v>
      </c>
      <c r="D75" s="63">
        <v>10</v>
      </c>
      <c r="E75" s="679"/>
      <c r="F75" s="41">
        <f>D75*E75</f>
        <v>0</v>
      </c>
    </row>
    <row r="76" spans="1:6">
      <c r="A76" s="38" t="s">
        <v>912</v>
      </c>
      <c r="B76" s="39" t="s">
        <v>435</v>
      </c>
      <c r="C76" s="62" t="s">
        <v>40</v>
      </c>
      <c r="D76" s="63">
        <f>D75*(1.2*1.2*0.9)</f>
        <v>12.96</v>
      </c>
      <c r="E76" s="679"/>
      <c r="F76" s="41">
        <f>D76*E76</f>
        <v>0</v>
      </c>
    </row>
    <row r="77" spans="1:6" ht="28.5">
      <c r="A77" s="38" t="s">
        <v>913</v>
      </c>
      <c r="B77" s="39" t="s">
        <v>399</v>
      </c>
      <c r="C77" s="62" t="s">
        <v>40</v>
      </c>
      <c r="D77" s="63">
        <f>D75*(1.2*1.2*0.9)</f>
        <v>12.96</v>
      </c>
      <c r="E77" s="679"/>
      <c r="F77" s="41">
        <f>D77*E77</f>
        <v>0</v>
      </c>
    </row>
    <row r="78" spans="1:6" ht="28.5">
      <c r="A78" s="38" t="s">
        <v>914</v>
      </c>
      <c r="B78" s="39" t="s">
        <v>434</v>
      </c>
      <c r="C78" s="62" t="s">
        <v>10</v>
      </c>
      <c r="D78" s="63">
        <f>D75*3</f>
        <v>30</v>
      </c>
      <c r="E78" s="679"/>
      <c r="F78" s="41">
        <f>D78*E78</f>
        <v>0</v>
      </c>
    </row>
    <row r="79" spans="1:6">
      <c r="A79" s="38" t="s">
        <v>915</v>
      </c>
      <c r="B79" s="39" t="s">
        <v>433</v>
      </c>
      <c r="C79" s="62" t="s">
        <v>10</v>
      </c>
      <c r="D79" s="63">
        <f>D75</f>
        <v>10</v>
      </c>
      <c r="E79" s="679"/>
      <c r="F79" s="41">
        <f>D79*E79</f>
        <v>0</v>
      </c>
    </row>
    <row r="80" spans="1:6">
      <c r="A80" s="38"/>
      <c r="B80" s="39"/>
      <c r="C80" s="62"/>
      <c r="D80" s="63"/>
      <c r="E80" s="64"/>
      <c r="F80" s="41"/>
    </row>
    <row r="81" spans="1:6" ht="28.5">
      <c r="A81" s="38" t="s">
        <v>916</v>
      </c>
      <c r="B81" s="208" t="s">
        <v>447</v>
      </c>
      <c r="C81" s="62" t="s">
        <v>10</v>
      </c>
      <c r="D81" s="63">
        <v>1</v>
      </c>
      <c r="E81" s="679"/>
      <c r="F81" s="41">
        <f>D81*E81</f>
        <v>0</v>
      </c>
    </row>
    <row r="82" spans="1:6">
      <c r="A82" s="38" t="s">
        <v>917</v>
      </c>
      <c r="B82" s="39" t="s">
        <v>435</v>
      </c>
      <c r="C82" s="62" t="s">
        <v>40</v>
      </c>
      <c r="D82" s="63">
        <f>D81*(1.2*1.2*0.9)</f>
        <v>1.296</v>
      </c>
      <c r="E82" s="679"/>
      <c r="F82" s="41">
        <f>D82*E82</f>
        <v>0</v>
      </c>
    </row>
    <row r="83" spans="1:6" ht="28.5">
      <c r="A83" s="38" t="s">
        <v>918</v>
      </c>
      <c r="B83" s="39" t="s">
        <v>399</v>
      </c>
      <c r="C83" s="62" t="s">
        <v>40</v>
      </c>
      <c r="D83" s="63">
        <f>D81*(1.2*1.2*0.9)</f>
        <v>1.296</v>
      </c>
      <c r="E83" s="679"/>
      <c r="F83" s="41">
        <f>D83*E83</f>
        <v>0</v>
      </c>
    </row>
    <row r="84" spans="1:6" ht="28.5">
      <c r="A84" s="38" t="s">
        <v>919</v>
      </c>
      <c r="B84" s="39" t="s">
        <v>434</v>
      </c>
      <c r="C84" s="62" t="s">
        <v>10</v>
      </c>
      <c r="D84" s="63">
        <f>D81*3</f>
        <v>3</v>
      </c>
      <c r="E84" s="679"/>
      <c r="F84" s="41">
        <f>D84*E84</f>
        <v>0</v>
      </c>
    </row>
    <row r="85" spans="1:6">
      <c r="A85" s="38" t="s">
        <v>920</v>
      </c>
      <c r="B85" s="39" t="s">
        <v>433</v>
      </c>
      <c r="C85" s="62" t="s">
        <v>10</v>
      </c>
      <c r="D85" s="63">
        <f>D81</f>
        <v>1</v>
      </c>
      <c r="E85" s="679"/>
      <c r="F85" s="41">
        <f>D85*E85</f>
        <v>0</v>
      </c>
    </row>
    <row r="86" spans="1:6">
      <c r="A86" s="38"/>
      <c r="B86" s="39"/>
      <c r="C86" s="62"/>
      <c r="D86" s="63"/>
      <c r="E86" s="64"/>
      <c r="F86" s="41"/>
    </row>
    <row r="87" spans="1:6" ht="28.5">
      <c r="A87" s="38" t="s">
        <v>921</v>
      </c>
      <c r="B87" s="208" t="s">
        <v>446</v>
      </c>
      <c r="C87" s="62" t="s">
        <v>10</v>
      </c>
      <c r="D87" s="63">
        <v>2</v>
      </c>
      <c r="E87" s="679"/>
      <c r="F87" s="41">
        <f>D87*E87</f>
        <v>0</v>
      </c>
    </row>
    <row r="88" spans="1:6">
      <c r="A88" s="38" t="s">
        <v>922</v>
      </c>
      <c r="B88" s="39" t="s">
        <v>435</v>
      </c>
      <c r="C88" s="62" t="s">
        <v>40</v>
      </c>
      <c r="D88" s="63">
        <f>D87*(1.2*1.2*0.9)</f>
        <v>2.5920000000000001</v>
      </c>
      <c r="E88" s="679"/>
      <c r="F88" s="41">
        <f>D88*E88</f>
        <v>0</v>
      </c>
    </row>
    <row r="89" spans="1:6" ht="28.5">
      <c r="A89" s="38" t="s">
        <v>923</v>
      </c>
      <c r="B89" s="39" t="s">
        <v>399</v>
      </c>
      <c r="C89" s="62" t="s">
        <v>40</v>
      </c>
      <c r="D89" s="63">
        <f>D87*(1.2*1.2*0.9)</f>
        <v>2.5920000000000001</v>
      </c>
      <c r="E89" s="679"/>
      <c r="F89" s="41">
        <f>D89*E89</f>
        <v>0</v>
      </c>
    </row>
    <row r="90" spans="1:6" ht="28.5">
      <c r="A90" s="38" t="s">
        <v>924</v>
      </c>
      <c r="B90" s="39" t="s">
        <v>434</v>
      </c>
      <c r="C90" s="62" t="s">
        <v>10</v>
      </c>
      <c r="D90" s="63">
        <f>D87*3</f>
        <v>6</v>
      </c>
      <c r="E90" s="679"/>
      <c r="F90" s="41">
        <f>D90*E90</f>
        <v>0</v>
      </c>
    </row>
    <row r="91" spans="1:6">
      <c r="A91" s="38" t="s">
        <v>925</v>
      </c>
      <c r="B91" s="39" t="s">
        <v>433</v>
      </c>
      <c r="C91" s="62" t="s">
        <v>10</v>
      </c>
      <c r="D91" s="63">
        <f>D87</f>
        <v>2</v>
      </c>
      <c r="E91" s="679"/>
      <c r="F91" s="41">
        <f>D91*E91</f>
        <v>0</v>
      </c>
    </row>
    <row r="92" spans="1:6">
      <c r="A92" s="38"/>
      <c r="B92" s="39"/>
      <c r="C92" s="62"/>
      <c r="D92" s="63"/>
      <c r="E92" s="64"/>
      <c r="F92" s="41"/>
    </row>
    <row r="93" spans="1:6" ht="28.5">
      <c r="A93" s="38" t="s">
        <v>926</v>
      </c>
      <c r="B93" s="208" t="s">
        <v>445</v>
      </c>
      <c r="C93" s="62" t="s">
        <v>10</v>
      </c>
      <c r="D93" s="63">
        <v>7</v>
      </c>
      <c r="E93" s="679"/>
      <c r="F93" s="41">
        <f>D93*E93</f>
        <v>0</v>
      </c>
    </row>
    <row r="94" spans="1:6">
      <c r="A94" s="38" t="s">
        <v>927</v>
      </c>
      <c r="B94" s="39" t="s">
        <v>435</v>
      </c>
      <c r="C94" s="62" t="s">
        <v>40</v>
      </c>
      <c r="D94" s="63">
        <f>D93*(1.2*1.2*0.9)</f>
        <v>9.072000000000001</v>
      </c>
      <c r="E94" s="679"/>
      <c r="F94" s="41">
        <f>D94*E94</f>
        <v>0</v>
      </c>
    </row>
    <row r="95" spans="1:6" ht="28.5">
      <c r="A95" s="38" t="s">
        <v>928</v>
      </c>
      <c r="B95" s="39" t="s">
        <v>399</v>
      </c>
      <c r="C95" s="62" t="s">
        <v>40</v>
      </c>
      <c r="D95" s="63">
        <f>D93*(1.2*1.2*0.9)</f>
        <v>9.072000000000001</v>
      </c>
      <c r="E95" s="679"/>
      <c r="F95" s="41">
        <f>D95*E95</f>
        <v>0</v>
      </c>
    </row>
    <row r="96" spans="1:6" ht="28.5">
      <c r="A96" s="38" t="s">
        <v>929</v>
      </c>
      <c r="B96" s="39" t="s">
        <v>434</v>
      </c>
      <c r="C96" s="62" t="s">
        <v>10</v>
      </c>
      <c r="D96" s="63">
        <f>D93*3</f>
        <v>21</v>
      </c>
      <c r="E96" s="679"/>
      <c r="F96" s="41">
        <f>D96*E96</f>
        <v>0</v>
      </c>
    </row>
    <row r="97" spans="1:6">
      <c r="A97" s="38" t="s">
        <v>930</v>
      </c>
      <c r="B97" s="39" t="s">
        <v>433</v>
      </c>
      <c r="C97" s="62" t="s">
        <v>10</v>
      </c>
      <c r="D97" s="63">
        <f>D93</f>
        <v>7</v>
      </c>
      <c r="E97" s="679"/>
      <c r="F97" s="41">
        <f>D97*E97</f>
        <v>0</v>
      </c>
    </row>
    <row r="98" spans="1:6">
      <c r="A98" s="38"/>
      <c r="B98" s="39"/>
      <c r="C98" s="62"/>
      <c r="D98" s="63"/>
      <c r="E98" s="64"/>
      <c r="F98" s="41"/>
    </row>
    <row r="99" spans="1:6" ht="28.5">
      <c r="A99" s="38" t="s">
        <v>931</v>
      </c>
      <c r="B99" s="208" t="s">
        <v>444</v>
      </c>
      <c r="C99" s="62" t="s">
        <v>10</v>
      </c>
      <c r="D99" s="63">
        <v>3</v>
      </c>
      <c r="E99" s="679"/>
      <c r="F99" s="41">
        <f>D99*E99</f>
        <v>0</v>
      </c>
    </row>
    <row r="100" spans="1:6">
      <c r="A100" s="38" t="s">
        <v>932</v>
      </c>
      <c r="B100" s="39" t="s">
        <v>435</v>
      </c>
      <c r="C100" s="62" t="s">
        <v>40</v>
      </c>
      <c r="D100" s="63">
        <f>D99*(1.2*1.2*0.9)</f>
        <v>3.8879999999999999</v>
      </c>
      <c r="E100" s="679"/>
      <c r="F100" s="41">
        <f>D100*E100</f>
        <v>0</v>
      </c>
    </row>
    <row r="101" spans="1:6" ht="28.5">
      <c r="A101" s="38" t="s">
        <v>933</v>
      </c>
      <c r="B101" s="39" t="s">
        <v>399</v>
      </c>
      <c r="C101" s="62" t="s">
        <v>40</v>
      </c>
      <c r="D101" s="63">
        <f>D99*(1.2*1.2*0.9)</f>
        <v>3.8879999999999999</v>
      </c>
      <c r="E101" s="679"/>
      <c r="F101" s="41">
        <f>D101*E101</f>
        <v>0</v>
      </c>
    </row>
    <row r="102" spans="1:6" ht="28.5">
      <c r="A102" s="38" t="s">
        <v>934</v>
      </c>
      <c r="B102" s="39" t="s">
        <v>434</v>
      </c>
      <c r="C102" s="62" t="s">
        <v>10</v>
      </c>
      <c r="D102" s="63">
        <f>D99*3</f>
        <v>9</v>
      </c>
      <c r="E102" s="679"/>
      <c r="F102" s="41">
        <f>D102*E102</f>
        <v>0</v>
      </c>
    </row>
    <row r="103" spans="1:6">
      <c r="A103" s="38" t="s">
        <v>935</v>
      </c>
      <c r="B103" s="39" t="s">
        <v>433</v>
      </c>
      <c r="C103" s="62" t="s">
        <v>10</v>
      </c>
      <c r="D103" s="63">
        <f>D99</f>
        <v>3</v>
      </c>
      <c r="E103" s="679"/>
      <c r="F103" s="41">
        <f>D103*E103</f>
        <v>0</v>
      </c>
    </row>
    <row r="104" spans="1:6">
      <c r="A104" s="38"/>
      <c r="B104" s="39"/>
      <c r="C104" s="62"/>
      <c r="D104" s="63"/>
      <c r="E104" s="64"/>
      <c r="F104" s="41"/>
    </row>
    <row r="105" spans="1:6" ht="28.5">
      <c r="A105" s="38" t="s">
        <v>936</v>
      </c>
      <c r="B105" s="208" t="s">
        <v>443</v>
      </c>
      <c r="C105" s="62" t="s">
        <v>10</v>
      </c>
      <c r="D105" s="63">
        <v>1</v>
      </c>
      <c r="E105" s="679"/>
      <c r="F105" s="41">
        <f>D105*E105</f>
        <v>0</v>
      </c>
    </row>
    <row r="106" spans="1:6">
      <c r="A106" s="38" t="s">
        <v>937</v>
      </c>
      <c r="B106" s="39" t="s">
        <v>435</v>
      </c>
      <c r="C106" s="62" t="s">
        <v>40</v>
      </c>
      <c r="D106" s="63">
        <f>D105*(1.2*1.2*0.9)</f>
        <v>1.296</v>
      </c>
      <c r="E106" s="679"/>
      <c r="F106" s="41">
        <f>D106*E106</f>
        <v>0</v>
      </c>
    </row>
    <row r="107" spans="1:6" ht="28.5">
      <c r="A107" s="38" t="s">
        <v>938</v>
      </c>
      <c r="B107" s="39" t="s">
        <v>399</v>
      </c>
      <c r="C107" s="62" t="s">
        <v>40</v>
      </c>
      <c r="D107" s="63">
        <f>D105*(1.2*1.2*0.9)</f>
        <v>1.296</v>
      </c>
      <c r="E107" s="679"/>
      <c r="F107" s="41">
        <f>D107*E107</f>
        <v>0</v>
      </c>
    </row>
    <row r="108" spans="1:6" ht="28.5">
      <c r="A108" s="38" t="s">
        <v>939</v>
      </c>
      <c r="B108" s="39" t="s">
        <v>434</v>
      </c>
      <c r="C108" s="62" t="s">
        <v>10</v>
      </c>
      <c r="D108" s="63">
        <f>D105*3</f>
        <v>3</v>
      </c>
      <c r="E108" s="679"/>
      <c r="F108" s="41">
        <f>D108*E108</f>
        <v>0</v>
      </c>
    </row>
    <row r="109" spans="1:6">
      <c r="A109" s="38" t="s">
        <v>940</v>
      </c>
      <c r="B109" s="39" t="s">
        <v>433</v>
      </c>
      <c r="C109" s="62" t="s">
        <v>10</v>
      </c>
      <c r="D109" s="63">
        <f>D105</f>
        <v>1</v>
      </c>
      <c r="E109" s="679"/>
      <c r="F109" s="41">
        <f>D109*E109</f>
        <v>0</v>
      </c>
    </row>
    <row r="110" spans="1:6">
      <c r="A110" s="38"/>
      <c r="B110" s="39"/>
      <c r="C110" s="62"/>
      <c r="D110" s="63"/>
      <c r="E110" s="64"/>
      <c r="F110" s="41"/>
    </row>
    <row r="111" spans="1:6" ht="28.5">
      <c r="A111" s="38" t="s">
        <v>941</v>
      </c>
      <c r="B111" s="208" t="s">
        <v>1108</v>
      </c>
      <c r="C111" s="62" t="s">
        <v>10</v>
      </c>
      <c r="D111" s="63">
        <v>3</v>
      </c>
      <c r="E111" s="679"/>
      <c r="F111" s="41">
        <f>D111*E111</f>
        <v>0</v>
      </c>
    </row>
    <row r="112" spans="1:6">
      <c r="A112" s="38" t="s">
        <v>942</v>
      </c>
      <c r="B112" s="39" t="s">
        <v>435</v>
      </c>
      <c r="C112" s="62" t="s">
        <v>40</v>
      </c>
      <c r="D112" s="63">
        <f>D111*(1.2*1.2*0.9)</f>
        <v>3.8879999999999999</v>
      </c>
      <c r="E112" s="679"/>
      <c r="F112" s="41">
        <f>D112*E112</f>
        <v>0</v>
      </c>
    </row>
    <row r="113" spans="1:6" ht="28.5">
      <c r="A113" s="38" t="s">
        <v>943</v>
      </c>
      <c r="B113" s="39" t="s">
        <v>399</v>
      </c>
      <c r="C113" s="62" t="s">
        <v>40</v>
      </c>
      <c r="D113" s="63">
        <f>D111*(1.2*1.2*0.9)</f>
        <v>3.8879999999999999</v>
      </c>
      <c r="E113" s="679"/>
      <c r="F113" s="41">
        <f>D113*E113</f>
        <v>0</v>
      </c>
    </row>
    <row r="114" spans="1:6" ht="28.5">
      <c r="A114" s="38" t="s">
        <v>944</v>
      </c>
      <c r="B114" s="39" t="s">
        <v>434</v>
      </c>
      <c r="C114" s="62" t="s">
        <v>10</v>
      </c>
      <c r="D114" s="63">
        <f>D111*3</f>
        <v>9</v>
      </c>
      <c r="E114" s="679"/>
      <c r="F114" s="41">
        <f>D114*E114</f>
        <v>0</v>
      </c>
    </row>
    <row r="115" spans="1:6">
      <c r="A115" s="38" t="s">
        <v>945</v>
      </c>
      <c r="B115" s="39" t="s">
        <v>433</v>
      </c>
      <c r="C115" s="62" t="s">
        <v>10</v>
      </c>
      <c r="D115" s="63">
        <f>D111</f>
        <v>3</v>
      </c>
      <c r="E115" s="679"/>
      <c r="F115" s="41">
        <f>D115*E115</f>
        <v>0</v>
      </c>
    </row>
    <row r="116" spans="1:6">
      <c r="A116" s="38"/>
      <c r="B116" s="39"/>
      <c r="C116" s="62"/>
      <c r="D116" s="63"/>
      <c r="E116" s="64"/>
      <c r="F116" s="41"/>
    </row>
    <row r="117" spans="1:6" ht="28.5">
      <c r="A117" s="38" t="s">
        <v>946</v>
      </c>
      <c r="B117" s="208" t="s">
        <v>442</v>
      </c>
      <c r="C117" s="62" t="s">
        <v>10</v>
      </c>
      <c r="D117" s="63">
        <v>3</v>
      </c>
      <c r="E117" s="679"/>
      <c r="F117" s="41">
        <f>D117*E117</f>
        <v>0</v>
      </c>
    </row>
    <row r="118" spans="1:6">
      <c r="A118" s="38" t="s">
        <v>947</v>
      </c>
      <c r="B118" s="39" t="s">
        <v>435</v>
      </c>
      <c r="C118" s="62" t="s">
        <v>40</v>
      </c>
      <c r="D118" s="63">
        <f>D117*(1.2*1.2*0.9)</f>
        <v>3.8879999999999999</v>
      </c>
      <c r="E118" s="679"/>
      <c r="F118" s="41">
        <f>D118*E118</f>
        <v>0</v>
      </c>
    </row>
    <row r="119" spans="1:6" ht="28.5">
      <c r="A119" s="38" t="s">
        <v>948</v>
      </c>
      <c r="B119" s="39" t="s">
        <v>399</v>
      </c>
      <c r="C119" s="62" t="s">
        <v>40</v>
      </c>
      <c r="D119" s="63">
        <f>D117*(1.2*1.2*0.9)</f>
        <v>3.8879999999999999</v>
      </c>
      <c r="E119" s="679"/>
      <c r="F119" s="41">
        <f>D119*E119</f>
        <v>0</v>
      </c>
    </row>
    <row r="120" spans="1:6" ht="28.5">
      <c r="A120" s="38" t="s">
        <v>949</v>
      </c>
      <c r="B120" s="39" t="s">
        <v>434</v>
      </c>
      <c r="C120" s="62" t="s">
        <v>10</v>
      </c>
      <c r="D120" s="63">
        <f>D117*3</f>
        <v>9</v>
      </c>
      <c r="E120" s="679"/>
      <c r="F120" s="41">
        <f>D120*E120</f>
        <v>0</v>
      </c>
    </row>
    <row r="121" spans="1:6">
      <c r="A121" s="38" t="s">
        <v>950</v>
      </c>
      <c r="B121" s="39" t="s">
        <v>433</v>
      </c>
      <c r="C121" s="62" t="s">
        <v>10</v>
      </c>
      <c r="D121" s="63">
        <f>D117</f>
        <v>3</v>
      </c>
      <c r="E121" s="679"/>
      <c r="F121" s="41">
        <f>D121*E121</f>
        <v>0</v>
      </c>
    </row>
    <row r="122" spans="1:6">
      <c r="A122" s="38"/>
      <c r="B122" s="39"/>
      <c r="C122" s="62"/>
      <c r="D122" s="63"/>
      <c r="E122" s="64"/>
      <c r="F122" s="41"/>
    </row>
    <row r="123" spans="1:6" ht="28.5">
      <c r="A123" s="38" t="s">
        <v>951</v>
      </c>
      <c r="B123" s="208" t="s">
        <v>441</v>
      </c>
      <c r="C123" s="62" t="s">
        <v>10</v>
      </c>
      <c r="D123" s="63">
        <v>1</v>
      </c>
      <c r="E123" s="679"/>
      <c r="F123" s="41">
        <f>D123*E123</f>
        <v>0</v>
      </c>
    </row>
    <row r="124" spans="1:6">
      <c r="A124" s="38" t="s">
        <v>952</v>
      </c>
      <c r="B124" s="39" t="s">
        <v>435</v>
      </c>
      <c r="C124" s="62" t="s">
        <v>40</v>
      </c>
      <c r="D124" s="63">
        <f>D123*(1.2*1.2*0.9)</f>
        <v>1.296</v>
      </c>
      <c r="E124" s="679"/>
      <c r="F124" s="41">
        <f>D124*E124</f>
        <v>0</v>
      </c>
    </row>
    <row r="125" spans="1:6" ht="28.5">
      <c r="A125" s="38" t="s">
        <v>953</v>
      </c>
      <c r="B125" s="39" t="s">
        <v>399</v>
      </c>
      <c r="C125" s="62" t="s">
        <v>40</v>
      </c>
      <c r="D125" s="63">
        <f>D123*(1.2*1.2*0.9)</f>
        <v>1.296</v>
      </c>
      <c r="E125" s="679"/>
      <c r="F125" s="41">
        <f>D125*E125</f>
        <v>0</v>
      </c>
    </row>
    <row r="126" spans="1:6" ht="28.5">
      <c r="A126" s="38" t="s">
        <v>954</v>
      </c>
      <c r="B126" s="39" t="s">
        <v>434</v>
      </c>
      <c r="C126" s="62" t="s">
        <v>10</v>
      </c>
      <c r="D126" s="63">
        <f>D123*3</f>
        <v>3</v>
      </c>
      <c r="E126" s="679"/>
      <c r="F126" s="41">
        <f>D126*E126</f>
        <v>0</v>
      </c>
    </row>
    <row r="127" spans="1:6">
      <c r="A127" s="38" t="s">
        <v>955</v>
      </c>
      <c r="B127" s="39" t="s">
        <v>433</v>
      </c>
      <c r="C127" s="62" t="s">
        <v>10</v>
      </c>
      <c r="D127" s="63">
        <f>D123</f>
        <v>1</v>
      </c>
      <c r="E127" s="679"/>
      <c r="F127" s="41">
        <f>D127*E127</f>
        <v>0</v>
      </c>
    </row>
    <row r="128" spans="1:6">
      <c r="A128" s="38"/>
      <c r="B128" s="39"/>
      <c r="C128" s="62"/>
      <c r="D128" s="63"/>
      <c r="E128" s="64"/>
      <c r="F128" s="41"/>
    </row>
    <row r="129" spans="1:6" ht="28.5">
      <c r="A129" s="38" t="s">
        <v>956</v>
      </c>
      <c r="B129" s="208" t="s">
        <v>440</v>
      </c>
      <c r="C129" s="62" t="s">
        <v>10</v>
      </c>
      <c r="D129" s="63">
        <v>2</v>
      </c>
      <c r="E129" s="679"/>
      <c r="F129" s="41">
        <f>D129*E129</f>
        <v>0</v>
      </c>
    </row>
    <row r="130" spans="1:6">
      <c r="A130" s="38" t="s">
        <v>957</v>
      </c>
      <c r="B130" s="39" t="s">
        <v>435</v>
      </c>
      <c r="C130" s="62" t="s">
        <v>40</v>
      </c>
      <c r="D130" s="63">
        <f>D129*(1.2*1.2*0.9)</f>
        <v>2.5920000000000001</v>
      </c>
      <c r="E130" s="679"/>
      <c r="F130" s="41">
        <f>D130*E130</f>
        <v>0</v>
      </c>
    </row>
    <row r="131" spans="1:6" ht="28.5">
      <c r="A131" s="38" t="s">
        <v>958</v>
      </c>
      <c r="B131" s="39" t="s">
        <v>399</v>
      </c>
      <c r="C131" s="62" t="s">
        <v>40</v>
      </c>
      <c r="D131" s="63">
        <f>D129*(1.2*1.2*0.9)</f>
        <v>2.5920000000000001</v>
      </c>
      <c r="E131" s="679"/>
      <c r="F131" s="41">
        <f>D131*E131</f>
        <v>0</v>
      </c>
    </row>
    <row r="132" spans="1:6" ht="28.5">
      <c r="A132" s="38" t="s">
        <v>959</v>
      </c>
      <c r="B132" s="39" t="s">
        <v>434</v>
      </c>
      <c r="C132" s="62" t="s">
        <v>10</v>
      </c>
      <c r="D132" s="63">
        <f>D129*3</f>
        <v>6</v>
      </c>
      <c r="E132" s="679"/>
      <c r="F132" s="41">
        <f>D132*E132</f>
        <v>0</v>
      </c>
    </row>
    <row r="133" spans="1:6">
      <c r="A133" s="38" t="s">
        <v>960</v>
      </c>
      <c r="B133" s="39" t="s">
        <v>433</v>
      </c>
      <c r="C133" s="62" t="s">
        <v>10</v>
      </c>
      <c r="D133" s="63">
        <f>D129</f>
        <v>2</v>
      </c>
      <c r="E133" s="679"/>
      <c r="F133" s="41">
        <f>D133*E133</f>
        <v>0</v>
      </c>
    </row>
    <row r="134" spans="1:6">
      <c r="A134" s="38"/>
      <c r="B134" s="39"/>
      <c r="C134" s="62"/>
      <c r="D134" s="63"/>
      <c r="E134" s="64"/>
      <c r="F134" s="41"/>
    </row>
    <row r="135" spans="1:6" ht="28.5">
      <c r="A135" s="38" t="s">
        <v>961</v>
      </c>
      <c r="B135" s="208" t="s">
        <v>439</v>
      </c>
      <c r="C135" s="62" t="s">
        <v>10</v>
      </c>
      <c r="D135" s="63">
        <v>2</v>
      </c>
      <c r="E135" s="679"/>
      <c r="F135" s="41">
        <f>D135*E135</f>
        <v>0</v>
      </c>
    </row>
    <row r="136" spans="1:6">
      <c r="A136" s="38" t="s">
        <v>962</v>
      </c>
      <c r="B136" s="39" t="s">
        <v>435</v>
      </c>
      <c r="C136" s="62" t="s">
        <v>40</v>
      </c>
      <c r="D136" s="63">
        <f>D135*(1.2*1.2*0.9)</f>
        <v>2.5920000000000001</v>
      </c>
      <c r="E136" s="679"/>
      <c r="F136" s="41">
        <f>D136*E136</f>
        <v>0</v>
      </c>
    </row>
    <row r="137" spans="1:6" ht="28.5">
      <c r="A137" s="38" t="s">
        <v>963</v>
      </c>
      <c r="B137" s="39" t="s">
        <v>399</v>
      </c>
      <c r="C137" s="62" t="s">
        <v>40</v>
      </c>
      <c r="D137" s="63">
        <f>D135*(1.2*1.2*0.9)</f>
        <v>2.5920000000000001</v>
      </c>
      <c r="E137" s="679"/>
      <c r="F137" s="41">
        <f>D137*E137</f>
        <v>0</v>
      </c>
    </row>
    <row r="138" spans="1:6" ht="28.5">
      <c r="A138" s="38" t="s">
        <v>964</v>
      </c>
      <c r="B138" s="39" t="s">
        <v>434</v>
      </c>
      <c r="C138" s="62" t="s">
        <v>10</v>
      </c>
      <c r="D138" s="63">
        <f>D135*3</f>
        <v>6</v>
      </c>
      <c r="E138" s="679"/>
      <c r="F138" s="41">
        <f>D138*E138</f>
        <v>0</v>
      </c>
    </row>
    <row r="139" spans="1:6">
      <c r="A139" s="38" t="s">
        <v>965</v>
      </c>
      <c r="B139" s="39" t="s">
        <v>433</v>
      </c>
      <c r="C139" s="62" t="s">
        <v>10</v>
      </c>
      <c r="D139" s="63">
        <f>D135</f>
        <v>2</v>
      </c>
      <c r="E139" s="679"/>
      <c r="F139" s="41">
        <f>D139*E139</f>
        <v>0</v>
      </c>
    </row>
    <row r="140" spans="1:6">
      <c r="A140" s="38"/>
      <c r="B140" s="39"/>
      <c r="C140" s="62"/>
      <c r="D140" s="63"/>
      <c r="E140" s="64"/>
      <c r="F140" s="41"/>
    </row>
    <row r="141" spans="1:6" ht="28.5">
      <c r="A141" s="38" t="s">
        <v>966</v>
      </c>
      <c r="B141" s="208" t="s">
        <v>438</v>
      </c>
      <c r="C141" s="62" t="s">
        <v>10</v>
      </c>
      <c r="D141" s="63">
        <v>1</v>
      </c>
      <c r="E141" s="679"/>
      <c r="F141" s="41">
        <f>D141*E141</f>
        <v>0</v>
      </c>
    </row>
    <row r="142" spans="1:6">
      <c r="A142" s="38" t="s">
        <v>967</v>
      </c>
      <c r="B142" s="39" t="s">
        <v>435</v>
      </c>
      <c r="C142" s="62" t="s">
        <v>40</v>
      </c>
      <c r="D142" s="63">
        <f>D141*(1.2*1.2*0.9)</f>
        <v>1.296</v>
      </c>
      <c r="E142" s="679"/>
      <c r="F142" s="41">
        <f>D142*E142</f>
        <v>0</v>
      </c>
    </row>
    <row r="143" spans="1:6" ht="28.5">
      <c r="A143" s="38" t="s">
        <v>968</v>
      </c>
      <c r="B143" s="39" t="s">
        <v>399</v>
      </c>
      <c r="C143" s="62" t="s">
        <v>40</v>
      </c>
      <c r="D143" s="63">
        <f>D141*(1.2*1.2*0.9)</f>
        <v>1.296</v>
      </c>
      <c r="E143" s="679"/>
      <c r="F143" s="41">
        <f>D143*E143</f>
        <v>0</v>
      </c>
    </row>
    <row r="144" spans="1:6" ht="28.5">
      <c r="A144" s="38" t="s">
        <v>969</v>
      </c>
      <c r="B144" s="39" t="s">
        <v>434</v>
      </c>
      <c r="C144" s="62" t="s">
        <v>10</v>
      </c>
      <c r="D144" s="63">
        <f>D141*3</f>
        <v>3</v>
      </c>
      <c r="E144" s="679"/>
      <c r="F144" s="41">
        <f>D144*E144</f>
        <v>0</v>
      </c>
    </row>
    <row r="145" spans="1:43">
      <c r="A145" s="38" t="s">
        <v>970</v>
      </c>
      <c r="B145" s="39" t="s">
        <v>433</v>
      </c>
      <c r="C145" s="62" t="s">
        <v>10</v>
      </c>
      <c r="D145" s="63">
        <f>D141</f>
        <v>1</v>
      </c>
      <c r="E145" s="679"/>
      <c r="F145" s="41">
        <f>D145*E145</f>
        <v>0</v>
      </c>
    </row>
    <row r="146" spans="1:43">
      <c r="A146" s="38"/>
      <c r="B146" s="39"/>
      <c r="C146" s="62"/>
      <c r="D146" s="63"/>
      <c r="E146" s="64"/>
      <c r="F146" s="41"/>
    </row>
    <row r="147" spans="1:43" ht="28.5">
      <c r="A147" s="38" t="s">
        <v>971</v>
      </c>
      <c r="B147" s="208" t="s">
        <v>437</v>
      </c>
      <c r="C147" s="62" t="s">
        <v>10</v>
      </c>
      <c r="D147" s="63">
        <v>7</v>
      </c>
      <c r="E147" s="679"/>
      <c r="F147" s="41">
        <f>D147*E147</f>
        <v>0</v>
      </c>
    </row>
    <row r="148" spans="1:43">
      <c r="A148" s="38" t="s">
        <v>972</v>
      </c>
      <c r="B148" s="39" t="s">
        <v>435</v>
      </c>
      <c r="C148" s="62" t="s">
        <v>40</v>
      </c>
      <c r="D148" s="63">
        <f>D147*(1.2*1.2*0.9)</f>
        <v>9.072000000000001</v>
      </c>
      <c r="E148" s="679"/>
      <c r="F148" s="41">
        <f>D148*E148</f>
        <v>0</v>
      </c>
    </row>
    <row r="149" spans="1:43" ht="28.5">
      <c r="A149" s="38" t="s">
        <v>973</v>
      </c>
      <c r="B149" s="39" t="s">
        <v>399</v>
      </c>
      <c r="C149" s="62" t="s">
        <v>40</v>
      </c>
      <c r="D149" s="63">
        <f>D147*(1.2*1.2*0.9)</f>
        <v>9.072000000000001</v>
      </c>
      <c r="E149" s="679"/>
      <c r="F149" s="41">
        <f>D149*E149</f>
        <v>0</v>
      </c>
    </row>
    <row r="150" spans="1:43" ht="28.5">
      <c r="A150" s="38" t="s">
        <v>974</v>
      </c>
      <c r="B150" s="39" t="s">
        <v>434</v>
      </c>
      <c r="C150" s="62" t="s">
        <v>10</v>
      </c>
      <c r="D150" s="63">
        <f>D147*3</f>
        <v>21</v>
      </c>
      <c r="E150" s="679"/>
      <c r="F150" s="41">
        <f>D150*E150</f>
        <v>0</v>
      </c>
    </row>
    <row r="151" spans="1:43">
      <c r="A151" s="38" t="s">
        <v>975</v>
      </c>
      <c r="B151" s="39" t="s">
        <v>433</v>
      </c>
      <c r="C151" s="62" t="s">
        <v>10</v>
      </c>
      <c r="D151" s="63">
        <f>D147</f>
        <v>7</v>
      </c>
      <c r="E151" s="679"/>
      <c r="F151" s="41">
        <f>D151*E151</f>
        <v>0</v>
      </c>
    </row>
    <row r="152" spans="1:43">
      <c r="A152" s="38"/>
      <c r="B152" s="39"/>
      <c r="C152" s="62"/>
      <c r="D152" s="63"/>
      <c r="E152" s="64"/>
      <c r="F152" s="41"/>
    </row>
    <row r="153" spans="1:43" ht="28.5">
      <c r="A153" s="38" t="s">
        <v>976</v>
      </c>
      <c r="B153" s="208" t="s">
        <v>436</v>
      </c>
      <c r="C153" s="62" t="s">
        <v>10</v>
      </c>
      <c r="D153" s="63">
        <v>5</v>
      </c>
      <c r="E153" s="679"/>
      <c r="F153" s="41">
        <f>D153*E153</f>
        <v>0</v>
      </c>
    </row>
    <row r="154" spans="1:43">
      <c r="A154" s="38" t="s">
        <v>977</v>
      </c>
      <c r="B154" s="39" t="s">
        <v>435</v>
      </c>
      <c r="C154" s="62" t="s">
        <v>40</v>
      </c>
      <c r="D154" s="63">
        <f>D153*(1.2*1.2*0.9)</f>
        <v>6.48</v>
      </c>
      <c r="E154" s="679"/>
      <c r="F154" s="41">
        <f>D154*E154</f>
        <v>0</v>
      </c>
    </row>
    <row r="155" spans="1:43" ht="28.5">
      <c r="A155" s="38" t="s">
        <v>978</v>
      </c>
      <c r="B155" s="39" t="s">
        <v>399</v>
      </c>
      <c r="C155" s="62" t="s">
        <v>40</v>
      </c>
      <c r="D155" s="63">
        <f>D153*(1.2*1.2*0.9)</f>
        <v>6.48</v>
      </c>
      <c r="E155" s="679"/>
      <c r="F155" s="41">
        <f>D155*E155</f>
        <v>0</v>
      </c>
    </row>
    <row r="156" spans="1:43" ht="28.5">
      <c r="A156" s="38" t="s">
        <v>979</v>
      </c>
      <c r="B156" s="39" t="s">
        <v>434</v>
      </c>
      <c r="C156" s="62" t="s">
        <v>10</v>
      </c>
      <c r="D156" s="63">
        <f>D153*3</f>
        <v>15</v>
      </c>
      <c r="E156" s="679"/>
      <c r="F156" s="41">
        <f>D156*E156</f>
        <v>0</v>
      </c>
    </row>
    <row r="157" spans="1:43">
      <c r="A157" s="38" t="s">
        <v>980</v>
      </c>
      <c r="B157" s="39" t="s">
        <v>433</v>
      </c>
      <c r="C157" s="62" t="s">
        <v>10</v>
      </c>
      <c r="D157" s="63">
        <f>D153</f>
        <v>5</v>
      </c>
      <c r="E157" s="679"/>
      <c r="F157" s="41">
        <f>D157*E157</f>
        <v>0</v>
      </c>
    </row>
    <row r="158" spans="1:43">
      <c r="A158" s="38"/>
      <c r="B158" s="39"/>
      <c r="C158" s="62"/>
      <c r="D158" s="63"/>
      <c r="E158" s="64"/>
      <c r="F158" s="41"/>
    </row>
    <row r="159" spans="1:43" s="4" customFormat="1" ht="14.25">
      <c r="A159" s="33"/>
      <c r="B159" s="61" t="s">
        <v>432</v>
      </c>
      <c r="C159" s="34"/>
      <c r="D159" s="35"/>
      <c r="E159" s="36"/>
      <c r="F159" s="37"/>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row>
    <row r="160" spans="1:43" ht="57">
      <c r="A160" s="38" t="s">
        <v>981</v>
      </c>
      <c r="B160" s="39" t="s">
        <v>395</v>
      </c>
      <c r="C160" s="62" t="s">
        <v>116</v>
      </c>
      <c r="D160" s="63">
        <v>60</v>
      </c>
      <c r="E160" s="679"/>
      <c r="F160" s="41">
        <f t="shared" ref="F160:F174" si="0">D160*E160</f>
        <v>0</v>
      </c>
    </row>
    <row r="161" spans="1:43">
      <c r="A161" s="38"/>
      <c r="B161" s="39"/>
      <c r="C161" s="62"/>
      <c r="D161" s="63"/>
      <c r="E161" s="64"/>
      <c r="F161" s="41"/>
    </row>
    <row r="162" spans="1:43">
      <c r="A162" s="38" t="s">
        <v>982</v>
      </c>
      <c r="B162" s="39" t="s">
        <v>430</v>
      </c>
      <c r="C162" s="62" t="s">
        <v>425</v>
      </c>
      <c r="D162" s="63">
        <f>D15+D21+D27+D33+D39+D45+D51+D57+D63+D69+D75+D81+D87+D93+D99+D105+D117+D111+D123+D129+D135+D141+D147+D153</f>
        <v>101</v>
      </c>
      <c r="E162" s="679"/>
      <c r="F162" s="41">
        <f t="shared" si="0"/>
        <v>0</v>
      </c>
    </row>
    <row r="163" spans="1:43">
      <c r="A163" s="38"/>
      <c r="B163" s="39"/>
      <c r="C163" s="62"/>
      <c r="D163" s="63"/>
      <c r="E163" s="64"/>
      <c r="F163" s="41"/>
    </row>
    <row r="164" spans="1:43">
      <c r="A164" s="38" t="s">
        <v>983</v>
      </c>
      <c r="B164" s="39" t="s">
        <v>429</v>
      </c>
      <c r="C164" s="62" t="s">
        <v>425</v>
      </c>
      <c r="D164" s="63">
        <f>D162</f>
        <v>101</v>
      </c>
      <c r="E164" s="679"/>
      <c r="F164" s="41">
        <f t="shared" si="0"/>
        <v>0</v>
      </c>
    </row>
    <row r="165" spans="1:43">
      <c r="A165" s="38"/>
      <c r="B165" s="39"/>
      <c r="C165" s="62"/>
      <c r="D165" s="63"/>
      <c r="E165" s="64"/>
      <c r="F165" s="41"/>
    </row>
    <row r="166" spans="1:43" ht="117" customHeight="1">
      <c r="A166" s="38" t="s">
        <v>984</v>
      </c>
      <c r="B166" s="39" t="s">
        <v>428</v>
      </c>
      <c r="C166" s="62" t="s">
        <v>422</v>
      </c>
      <c r="D166" s="63">
        <f>D162</f>
        <v>101</v>
      </c>
      <c r="E166" s="679"/>
      <c r="F166" s="41">
        <f t="shared" si="0"/>
        <v>0</v>
      </c>
    </row>
    <row r="167" spans="1:43">
      <c r="A167" s="38"/>
      <c r="B167" s="39"/>
      <c r="C167" s="62"/>
      <c r="D167" s="63"/>
      <c r="E167" s="64"/>
      <c r="F167" s="41"/>
    </row>
    <row r="168" spans="1:43" ht="102.75" customHeight="1">
      <c r="A168" s="38" t="s">
        <v>985</v>
      </c>
      <c r="B168" s="39" t="s">
        <v>431</v>
      </c>
      <c r="C168" s="62" t="s">
        <v>424</v>
      </c>
      <c r="D168" s="63">
        <f>101/100</f>
        <v>1.01</v>
      </c>
      <c r="E168" s="679"/>
      <c r="F168" s="41">
        <f t="shared" si="0"/>
        <v>0</v>
      </c>
    </row>
    <row r="169" spans="1:43">
      <c r="A169" s="38"/>
      <c r="B169" s="39"/>
      <c r="C169" s="62"/>
      <c r="D169" s="63"/>
      <c r="E169" s="64"/>
      <c r="F169" s="41"/>
    </row>
    <row r="170" spans="1:43">
      <c r="A170" s="38" t="s">
        <v>986</v>
      </c>
      <c r="B170" s="39" t="s">
        <v>427</v>
      </c>
      <c r="C170" s="62" t="s">
        <v>422</v>
      </c>
      <c r="D170" s="63">
        <f>D162</f>
        <v>101</v>
      </c>
      <c r="E170" s="679"/>
      <c r="F170" s="41">
        <f t="shared" si="0"/>
        <v>0</v>
      </c>
    </row>
    <row r="171" spans="1:43">
      <c r="A171" s="38"/>
      <c r="B171" s="39"/>
      <c r="C171" s="62"/>
      <c r="D171" s="63"/>
      <c r="E171" s="64"/>
      <c r="F171" s="41"/>
    </row>
    <row r="172" spans="1:43">
      <c r="A172" s="38" t="s">
        <v>987</v>
      </c>
      <c r="B172" s="39" t="s">
        <v>426</v>
      </c>
      <c r="C172" s="62" t="s">
        <v>422</v>
      </c>
      <c r="D172" s="63">
        <f>D162</f>
        <v>101</v>
      </c>
      <c r="E172" s="679"/>
      <c r="F172" s="41">
        <f t="shared" si="0"/>
        <v>0</v>
      </c>
    </row>
    <row r="173" spans="1:43">
      <c r="A173" s="38"/>
      <c r="B173" s="39"/>
      <c r="C173" s="62"/>
      <c r="D173" s="63"/>
      <c r="E173" s="64"/>
      <c r="F173" s="41"/>
    </row>
    <row r="174" spans="1:43">
      <c r="A174" s="38" t="s">
        <v>988</v>
      </c>
      <c r="B174" s="39" t="s">
        <v>423</v>
      </c>
      <c r="C174" s="62" t="s">
        <v>422</v>
      </c>
      <c r="D174" s="63">
        <f>D162</f>
        <v>101</v>
      </c>
      <c r="E174" s="679"/>
      <c r="F174" s="41">
        <f t="shared" si="0"/>
        <v>0</v>
      </c>
    </row>
    <row r="175" spans="1:43">
      <c r="A175" s="38"/>
      <c r="B175" s="39"/>
      <c r="C175" s="62"/>
      <c r="D175" s="63"/>
      <c r="E175" s="64"/>
      <c r="F175" s="41"/>
    </row>
    <row r="176" spans="1:43" s="4" customFormat="1" ht="14.25">
      <c r="A176" s="33"/>
      <c r="B176" s="61" t="s">
        <v>421</v>
      </c>
      <c r="C176" s="34"/>
      <c r="D176" s="35"/>
      <c r="E176" s="36"/>
      <c r="F176" s="37"/>
      <c r="G176" s="9"/>
      <c r="H176" s="9" t="s">
        <v>107</v>
      </c>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row>
    <row r="177" spans="1:6" ht="28.5">
      <c r="A177" s="38" t="s">
        <v>989</v>
      </c>
      <c r="B177" s="208" t="s">
        <v>420</v>
      </c>
      <c r="C177" s="62" t="s">
        <v>10</v>
      </c>
      <c r="D177" s="63">
        <v>3</v>
      </c>
      <c r="E177" s="679"/>
      <c r="F177" s="41">
        <f>D177*E177</f>
        <v>0</v>
      </c>
    </row>
    <row r="178" spans="1:6">
      <c r="A178" s="38" t="s">
        <v>990</v>
      </c>
      <c r="B178" s="39" t="s">
        <v>400</v>
      </c>
      <c r="C178" s="62" t="s">
        <v>40</v>
      </c>
      <c r="D178" s="63">
        <f>D177*(0.3*0.3*0.4)</f>
        <v>0.10799999999999998</v>
      </c>
      <c r="E178" s="679"/>
      <c r="F178" s="41">
        <f>D178*E178</f>
        <v>0</v>
      </c>
    </row>
    <row r="179" spans="1:6" ht="28.5">
      <c r="A179" s="38" t="s">
        <v>991</v>
      </c>
      <c r="B179" s="39" t="s">
        <v>399</v>
      </c>
      <c r="C179" s="62" t="s">
        <v>40</v>
      </c>
      <c r="D179" s="63">
        <f>D178</f>
        <v>0.10799999999999998</v>
      </c>
      <c r="E179" s="679"/>
      <c r="F179" s="41">
        <f>D179*E179</f>
        <v>0</v>
      </c>
    </row>
    <row r="180" spans="1:6">
      <c r="A180" s="38" t="s">
        <v>992</v>
      </c>
      <c r="B180" s="39" t="s">
        <v>397</v>
      </c>
      <c r="C180" s="62" t="s">
        <v>10</v>
      </c>
      <c r="D180" s="63">
        <f>SUM(D177:D177)</f>
        <v>3</v>
      </c>
      <c r="E180" s="679"/>
      <c r="F180" s="41">
        <f>D180*E180</f>
        <v>0</v>
      </c>
    </row>
    <row r="181" spans="1:6">
      <c r="A181" s="38"/>
      <c r="B181" s="39"/>
      <c r="C181" s="62"/>
      <c r="D181" s="63"/>
      <c r="E181" s="64"/>
      <c r="F181" s="41"/>
    </row>
    <row r="182" spans="1:6" ht="28.5">
      <c r="A182" s="38" t="s">
        <v>993</v>
      </c>
      <c r="B182" s="208" t="s">
        <v>419</v>
      </c>
      <c r="C182" s="62" t="s">
        <v>10</v>
      </c>
      <c r="D182" s="63">
        <v>12</v>
      </c>
      <c r="E182" s="679"/>
      <c r="F182" s="41">
        <f>D182*E182</f>
        <v>0</v>
      </c>
    </row>
    <row r="183" spans="1:6">
      <c r="A183" s="38" t="s">
        <v>994</v>
      </c>
      <c r="B183" s="39" t="s">
        <v>400</v>
      </c>
      <c r="C183" s="62" t="s">
        <v>40</v>
      </c>
      <c r="D183" s="63">
        <f>D182*(0.4*0.4*0.5)</f>
        <v>0.96000000000000019</v>
      </c>
      <c r="E183" s="679"/>
      <c r="F183" s="41">
        <f>D183*E183</f>
        <v>0</v>
      </c>
    </row>
    <row r="184" spans="1:6" ht="28.5">
      <c r="A184" s="38" t="s">
        <v>995</v>
      </c>
      <c r="B184" s="39" t="s">
        <v>399</v>
      </c>
      <c r="C184" s="62" t="s">
        <v>40</v>
      </c>
      <c r="D184" s="63">
        <f>D183</f>
        <v>0.96000000000000019</v>
      </c>
      <c r="E184" s="679"/>
      <c r="F184" s="41">
        <f>D184*E184</f>
        <v>0</v>
      </c>
    </row>
    <row r="185" spans="1:6">
      <c r="A185" s="38" t="s">
        <v>996</v>
      </c>
      <c r="B185" s="39" t="s">
        <v>397</v>
      </c>
      <c r="C185" s="62" t="s">
        <v>10</v>
      </c>
      <c r="D185" s="63">
        <f>SUM(D182:D182)</f>
        <v>12</v>
      </c>
      <c r="E185" s="679"/>
      <c r="F185" s="41">
        <f>D185*E185</f>
        <v>0</v>
      </c>
    </row>
    <row r="186" spans="1:6">
      <c r="A186" s="38"/>
      <c r="B186" s="39"/>
      <c r="C186" s="62"/>
      <c r="D186" s="63"/>
      <c r="E186" s="64"/>
      <c r="F186" s="41"/>
    </row>
    <row r="187" spans="1:6" ht="28.5">
      <c r="A187" s="38" t="s">
        <v>997</v>
      </c>
      <c r="B187" s="208" t="s">
        <v>418</v>
      </c>
      <c r="C187" s="62" t="s">
        <v>10</v>
      </c>
      <c r="D187" s="63">
        <v>3</v>
      </c>
      <c r="E187" s="679"/>
      <c r="F187" s="41">
        <f>D187*E187</f>
        <v>0</v>
      </c>
    </row>
    <row r="188" spans="1:6">
      <c r="A188" s="38" t="s">
        <v>998</v>
      </c>
      <c r="B188" s="39" t="s">
        <v>400</v>
      </c>
      <c r="C188" s="62" t="s">
        <v>40</v>
      </c>
      <c r="D188" s="63">
        <f>D187*(0.4*0.4*0.5)</f>
        <v>0.24000000000000005</v>
      </c>
      <c r="E188" s="679"/>
      <c r="F188" s="41">
        <f>D188*E188</f>
        <v>0</v>
      </c>
    </row>
    <row r="189" spans="1:6" ht="28.5">
      <c r="A189" s="38" t="s">
        <v>999</v>
      </c>
      <c r="B189" s="39" t="s">
        <v>399</v>
      </c>
      <c r="C189" s="62" t="s">
        <v>40</v>
      </c>
      <c r="D189" s="63">
        <f>D188</f>
        <v>0.24000000000000005</v>
      </c>
      <c r="E189" s="679"/>
      <c r="F189" s="41">
        <f>D189*E189</f>
        <v>0</v>
      </c>
    </row>
    <row r="190" spans="1:6">
      <c r="A190" s="38" t="s">
        <v>1000</v>
      </c>
      <c r="B190" s="39" t="s">
        <v>397</v>
      </c>
      <c r="C190" s="62" t="s">
        <v>10</v>
      </c>
      <c r="D190" s="63">
        <f>SUM(D187:D187)</f>
        <v>3</v>
      </c>
      <c r="E190" s="679"/>
      <c r="F190" s="41">
        <f>D190*E190</f>
        <v>0</v>
      </c>
    </row>
    <row r="191" spans="1:6">
      <c r="A191" s="38"/>
      <c r="B191" s="39"/>
      <c r="C191" s="62"/>
      <c r="D191" s="63"/>
      <c r="E191" s="64"/>
      <c r="F191" s="41"/>
    </row>
    <row r="192" spans="1:6" ht="28.5">
      <c r="A192" s="38" t="s">
        <v>1001</v>
      </c>
      <c r="B192" s="208" t="s">
        <v>417</v>
      </c>
      <c r="C192" s="62" t="s">
        <v>10</v>
      </c>
      <c r="D192" s="63">
        <v>9</v>
      </c>
      <c r="E192" s="679"/>
      <c r="F192" s="41">
        <f>D192*E192</f>
        <v>0</v>
      </c>
    </row>
    <row r="193" spans="1:6">
      <c r="A193" s="38" t="s">
        <v>1002</v>
      </c>
      <c r="B193" s="39" t="s">
        <v>400</v>
      </c>
      <c r="C193" s="62" t="s">
        <v>40</v>
      </c>
      <c r="D193" s="63">
        <f>D192*(0.3*0.3*0.4)</f>
        <v>0.32399999999999995</v>
      </c>
      <c r="E193" s="679"/>
      <c r="F193" s="41">
        <f>D193*E193</f>
        <v>0</v>
      </c>
    </row>
    <row r="194" spans="1:6" ht="28.5">
      <c r="A194" s="38" t="s">
        <v>1003</v>
      </c>
      <c r="B194" s="39" t="s">
        <v>399</v>
      </c>
      <c r="C194" s="62" t="s">
        <v>40</v>
      </c>
      <c r="D194" s="63">
        <f>D193</f>
        <v>0.32399999999999995</v>
      </c>
      <c r="E194" s="679"/>
      <c r="F194" s="41">
        <f>D194*E194</f>
        <v>0</v>
      </c>
    </row>
    <row r="195" spans="1:6">
      <c r="A195" s="38" t="s">
        <v>1004</v>
      </c>
      <c r="B195" s="39" t="s">
        <v>397</v>
      </c>
      <c r="C195" s="62" t="s">
        <v>10</v>
      </c>
      <c r="D195" s="63">
        <f>SUM(D192:D192)</f>
        <v>9</v>
      </c>
      <c r="E195" s="679"/>
      <c r="F195" s="41">
        <f>D195*E195</f>
        <v>0</v>
      </c>
    </row>
    <row r="196" spans="1:6">
      <c r="A196" s="38"/>
      <c r="B196" s="39"/>
      <c r="C196" s="62"/>
      <c r="D196" s="63"/>
      <c r="E196" s="64"/>
      <c r="F196" s="41"/>
    </row>
    <row r="197" spans="1:6" ht="28.5">
      <c r="A197" s="38" t="s">
        <v>1005</v>
      </c>
      <c r="B197" s="208" t="s">
        <v>416</v>
      </c>
      <c r="C197" s="62" t="s">
        <v>10</v>
      </c>
      <c r="D197" s="63">
        <v>4</v>
      </c>
      <c r="E197" s="679"/>
      <c r="F197" s="41">
        <f>D197*E197</f>
        <v>0</v>
      </c>
    </row>
    <row r="198" spans="1:6">
      <c r="A198" s="38" t="s">
        <v>1006</v>
      </c>
      <c r="B198" s="39" t="s">
        <v>400</v>
      </c>
      <c r="C198" s="62" t="s">
        <v>40</v>
      </c>
      <c r="D198" s="63">
        <f>D197*(0.3*0.3*0.4)</f>
        <v>0.14399999999999999</v>
      </c>
      <c r="E198" s="679"/>
      <c r="F198" s="41">
        <f>D198*E198</f>
        <v>0</v>
      </c>
    </row>
    <row r="199" spans="1:6" ht="28.5">
      <c r="A199" s="38" t="s">
        <v>1007</v>
      </c>
      <c r="B199" s="39" t="s">
        <v>399</v>
      </c>
      <c r="C199" s="62" t="s">
        <v>40</v>
      </c>
      <c r="D199" s="63">
        <f>D198</f>
        <v>0.14399999999999999</v>
      </c>
      <c r="E199" s="679"/>
      <c r="F199" s="41">
        <f>D199*E199</f>
        <v>0</v>
      </c>
    </row>
    <row r="200" spans="1:6">
      <c r="A200" s="38" t="s">
        <v>1008</v>
      </c>
      <c r="B200" s="39" t="s">
        <v>397</v>
      </c>
      <c r="C200" s="62" t="s">
        <v>10</v>
      </c>
      <c r="D200" s="63">
        <f>SUM(D197:D197)</f>
        <v>4</v>
      </c>
      <c r="E200" s="679"/>
      <c r="F200" s="41">
        <f>D200*E200</f>
        <v>0</v>
      </c>
    </row>
    <row r="201" spans="1:6">
      <c r="A201" s="38"/>
      <c r="B201" s="39"/>
      <c r="C201" s="62"/>
      <c r="D201" s="63"/>
      <c r="E201" s="64"/>
      <c r="F201" s="41"/>
    </row>
    <row r="202" spans="1:6" ht="28.5">
      <c r="A202" s="38" t="s">
        <v>1009</v>
      </c>
      <c r="B202" s="208" t="s">
        <v>415</v>
      </c>
      <c r="C202" s="62" t="s">
        <v>10</v>
      </c>
      <c r="D202" s="63">
        <v>7</v>
      </c>
      <c r="E202" s="679"/>
      <c r="F202" s="41">
        <f>D202*E202</f>
        <v>0</v>
      </c>
    </row>
    <row r="203" spans="1:6">
      <c r="A203" s="38" t="s">
        <v>1010</v>
      </c>
      <c r="B203" s="39" t="s">
        <v>400</v>
      </c>
      <c r="C203" s="62" t="s">
        <v>40</v>
      </c>
      <c r="D203" s="63">
        <f>D202*(0.3*0.3*0.4)</f>
        <v>0.252</v>
      </c>
      <c r="E203" s="679"/>
      <c r="F203" s="41">
        <f>D203*E203</f>
        <v>0</v>
      </c>
    </row>
    <row r="204" spans="1:6" ht="28.5">
      <c r="A204" s="38" t="s">
        <v>1011</v>
      </c>
      <c r="B204" s="39" t="s">
        <v>399</v>
      </c>
      <c r="C204" s="62" t="s">
        <v>40</v>
      </c>
      <c r="D204" s="63">
        <f>D203</f>
        <v>0.252</v>
      </c>
      <c r="E204" s="679"/>
      <c r="F204" s="41">
        <f>D204*E204</f>
        <v>0</v>
      </c>
    </row>
    <row r="205" spans="1:6">
      <c r="A205" s="38" t="s">
        <v>1012</v>
      </c>
      <c r="B205" s="39" t="s">
        <v>397</v>
      </c>
      <c r="C205" s="62" t="s">
        <v>10</v>
      </c>
      <c r="D205" s="63">
        <f>SUM(D202:D202)</f>
        <v>7</v>
      </c>
      <c r="E205" s="679"/>
      <c r="F205" s="41">
        <f>D205*E205</f>
        <v>0</v>
      </c>
    </row>
    <row r="206" spans="1:6">
      <c r="A206" s="38"/>
      <c r="B206" s="39"/>
      <c r="C206" s="62"/>
      <c r="D206" s="63"/>
      <c r="E206" s="64"/>
      <c r="F206" s="41"/>
    </row>
    <row r="207" spans="1:6" ht="28.5">
      <c r="A207" s="38" t="s">
        <v>1013</v>
      </c>
      <c r="B207" s="208" t="s">
        <v>414</v>
      </c>
      <c r="C207" s="62" t="s">
        <v>10</v>
      </c>
      <c r="D207" s="63">
        <v>6</v>
      </c>
      <c r="E207" s="679"/>
      <c r="F207" s="41">
        <f>D207*E207</f>
        <v>0</v>
      </c>
    </row>
    <row r="208" spans="1:6">
      <c r="A208" s="38" t="s">
        <v>1014</v>
      </c>
      <c r="B208" s="39" t="s">
        <v>400</v>
      </c>
      <c r="C208" s="62" t="s">
        <v>40</v>
      </c>
      <c r="D208" s="63">
        <f>D207*(0.3*0.3*0.4)</f>
        <v>0.21599999999999997</v>
      </c>
      <c r="E208" s="679"/>
      <c r="F208" s="41">
        <f>D208*E208</f>
        <v>0</v>
      </c>
    </row>
    <row r="209" spans="1:6" ht="28.5">
      <c r="A209" s="38" t="s">
        <v>1015</v>
      </c>
      <c r="B209" s="39" t="s">
        <v>399</v>
      </c>
      <c r="C209" s="62" t="s">
        <v>40</v>
      </c>
      <c r="D209" s="63">
        <f>D208</f>
        <v>0.21599999999999997</v>
      </c>
      <c r="E209" s="679"/>
      <c r="F209" s="41">
        <f>D209*E209</f>
        <v>0</v>
      </c>
    </row>
    <row r="210" spans="1:6">
      <c r="A210" s="38" t="s">
        <v>1016</v>
      </c>
      <c r="B210" s="39" t="s">
        <v>397</v>
      </c>
      <c r="C210" s="62" t="s">
        <v>10</v>
      </c>
      <c r="D210" s="63">
        <f>SUM(D207:D207)</f>
        <v>6</v>
      </c>
      <c r="E210" s="679"/>
      <c r="F210" s="41">
        <f>D210*E210</f>
        <v>0</v>
      </c>
    </row>
    <row r="211" spans="1:6">
      <c r="A211" s="38"/>
      <c r="B211" s="39"/>
      <c r="C211" s="62"/>
      <c r="D211" s="63"/>
      <c r="E211" s="64"/>
      <c r="F211" s="41"/>
    </row>
    <row r="212" spans="1:6" ht="28.5">
      <c r="A212" s="38" t="s">
        <v>1017</v>
      </c>
      <c r="B212" s="208" t="s">
        <v>413</v>
      </c>
      <c r="C212" s="62" t="s">
        <v>10</v>
      </c>
      <c r="D212" s="63">
        <v>10</v>
      </c>
      <c r="E212" s="679"/>
      <c r="F212" s="41">
        <f>D212*E212</f>
        <v>0</v>
      </c>
    </row>
    <row r="213" spans="1:6">
      <c r="A213" s="38" t="s">
        <v>1018</v>
      </c>
      <c r="B213" s="39" t="s">
        <v>400</v>
      </c>
      <c r="C213" s="62" t="s">
        <v>40</v>
      </c>
      <c r="D213" s="63">
        <f>D212*(0.3*0.3*0.4)</f>
        <v>0.36</v>
      </c>
      <c r="E213" s="679"/>
      <c r="F213" s="41">
        <f>D213*E213</f>
        <v>0</v>
      </c>
    </row>
    <row r="214" spans="1:6" ht="28.5">
      <c r="A214" s="38" t="s">
        <v>1019</v>
      </c>
      <c r="B214" s="39" t="s">
        <v>399</v>
      </c>
      <c r="C214" s="62" t="s">
        <v>40</v>
      </c>
      <c r="D214" s="63">
        <f>D213</f>
        <v>0.36</v>
      </c>
      <c r="E214" s="679"/>
      <c r="F214" s="41">
        <f>D214*E214</f>
        <v>0</v>
      </c>
    </row>
    <row r="215" spans="1:6">
      <c r="A215" s="38" t="s">
        <v>1020</v>
      </c>
      <c r="B215" s="39" t="s">
        <v>397</v>
      </c>
      <c r="C215" s="62" t="s">
        <v>10</v>
      </c>
      <c r="D215" s="63">
        <f>SUM(D212:D212)</f>
        <v>10</v>
      </c>
      <c r="E215" s="679"/>
      <c r="F215" s="41">
        <f>D215*E215</f>
        <v>0</v>
      </c>
    </row>
    <row r="216" spans="1:6">
      <c r="A216" s="38"/>
      <c r="B216" s="39"/>
      <c r="C216" s="62"/>
      <c r="D216" s="63"/>
      <c r="E216" s="64"/>
      <c r="F216" s="41"/>
    </row>
    <row r="217" spans="1:6" ht="28.5">
      <c r="A217" s="38" t="s">
        <v>1021</v>
      </c>
      <c r="B217" s="208" t="s">
        <v>412</v>
      </c>
      <c r="C217" s="62" t="s">
        <v>10</v>
      </c>
      <c r="D217" s="255">
        <f>672+73</f>
        <v>745</v>
      </c>
      <c r="E217" s="679"/>
      <c r="F217" s="234">
        <f>D217*E217</f>
        <v>0</v>
      </c>
    </row>
    <row r="218" spans="1:6">
      <c r="A218" s="38" t="s">
        <v>1022</v>
      </c>
      <c r="B218" s="39" t="s">
        <v>400</v>
      </c>
      <c r="C218" s="62" t="s">
        <v>40</v>
      </c>
      <c r="D218" s="63">
        <f>D217*(0.3*0.3*0.4)</f>
        <v>26.819999999999997</v>
      </c>
      <c r="E218" s="679"/>
      <c r="F218" s="41">
        <f>D218*E218</f>
        <v>0</v>
      </c>
    </row>
    <row r="219" spans="1:6" ht="28.5">
      <c r="A219" s="38" t="s">
        <v>1023</v>
      </c>
      <c r="B219" s="39" t="s">
        <v>399</v>
      </c>
      <c r="C219" s="62" t="s">
        <v>40</v>
      </c>
      <c r="D219" s="63">
        <f>D218</f>
        <v>26.819999999999997</v>
      </c>
      <c r="E219" s="679"/>
      <c r="F219" s="41">
        <f>D219*E219</f>
        <v>0</v>
      </c>
    </row>
    <row r="220" spans="1:6">
      <c r="A220" s="38" t="s">
        <v>1024</v>
      </c>
      <c r="B220" s="39" t="s">
        <v>397</v>
      </c>
      <c r="C220" s="62" t="s">
        <v>10</v>
      </c>
      <c r="D220" s="63">
        <f>SUM(D217:D217)</f>
        <v>745</v>
      </c>
      <c r="E220" s="679"/>
      <c r="F220" s="41">
        <f>D220*E220</f>
        <v>0</v>
      </c>
    </row>
    <row r="221" spans="1:6">
      <c r="A221" s="38"/>
      <c r="B221" s="39"/>
      <c r="C221" s="62"/>
      <c r="D221" s="63"/>
      <c r="E221" s="64"/>
      <c r="F221" s="41"/>
    </row>
    <row r="222" spans="1:6" ht="28.5">
      <c r="A222" s="38" t="s">
        <v>1025</v>
      </c>
      <c r="B222" s="208" t="s">
        <v>1163</v>
      </c>
      <c r="C222" s="62" t="s">
        <v>10</v>
      </c>
      <c r="D222" s="63">
        <v>168</v>
      </c>
      <c r="E222" s="679"/>
      <c r="F222" s="41">
        <f>D222*E222</f>
        <v>0</v>
      </c>
    </row>
    <row r="223" spans="1:6">
      <c r="A223" s="38" t="s">
        <v>1026</v>
      </c>
      <c r="B223" s="39" t="s">
        <v>400</v>
      </c>
      <c r="C223" s="62" t="s">
        <v>40</v>
      </c>
      <c r="D223" s="63">
        <f>D222*(0.3*0.3*0.4)</f>
        <v>6.0479999999999992</v>
      </c>
      <c r="E223" s="679"/>
      <c r="F223" s="41">
        <f>D223*E223</f>
        <v>0</v>
      </c>
    </row>
    <row r="224" spans="1:6" ht="28.5">
      <c r="A224" s="38" t="s">
        <v>1027</v>
      </c>
      <c r="B224" s="39" t="s">
        <v>399</v>
      </c>
      <c r="C224" s="62" t="s">
        <v>40</v>
      </c>
      <c r="D224" s="63">
        <f>D223</f>
        <v>6.0479999999999992</v>
      </c>
      <c r="E224" s="679"/>
      <c r="F224" s="41">
        <f>D224*E224</f>
        <v>0</v>
      </c>
    </row>
    <row r="225" spans="1:43">
      <c r="A225" s="38" t="s">
        <v>1028</v>
      </c>
      <c r="B225" s="39" t="s">
        <v>397</v>
      </c>
      <c r="C225" s="62" t="s">
        <v>10</v>
      </c>
      <c r="D225" s="63">
        <f>SUM(D222:D222)</f>
        <v>168</v>
      </c>
      <c r="E225" s="679"/>
      <c r="F225" s="41">
        <f>D225*E225</f>
        <v>0</v>
      </c>
    </row>
    <row r="226" spans="1:43">
      <c r="A226" s="38"/>
      <c r="B226" s="39"/>
      <c r="C226" s="62"/>
      <c r="D226" s="63"/>
      <c r="E226" s="64"/>
      <c r="F226" s="41"/>
    </row>
    <row r="227" spans="1:43" ht="28.5">
      <c r="A227" s="38" t="s">
        <v>1029</v>
      </c>
      <c r="B227" s="208" t="s">
        <v>411</v>
      </c>
      <c r="C227" s="62" t="s">
        <v>10</v>
      </c>
      <c r="D227" s="63">
        <v>2</v>
      </c>
      <c r="E227" s="679"/>
      <c r="F227" s="41">
        <f>D227*E227</f>
        <v>0</v>
      </c>
    </row>
    <row r="228" spans="1:43">
      <c r="A228" s="38" t="s">
        <v>1030</v>
      </c>
      <c r="B228" s="39" t="s">
        <v>400</v>
      </c>
      <c r="C228" s="62" t="s">
        <v>40</v>
      </c>
      <c r="D228" s="63">
        <f>D227*(0.4*0.4*0.5)</f>
        <v>0.16000000000000003</v>
      </c>
      <c r="E228" s="679"/>
      <c r="F228" s="41">
        <f>D228*E228</f>
        <v>0</v>
      </c>
    </row>
    <row r="229" spans="1:43" ht="28.5">
      <c r="A229" s="38" t="s">
        <v>1031</v>
      </c>
      <c r="B229" s="39" t="s">
        <v>399</v>
      </c>
      <c r="C229" s="62" t="s">
        <v>40</v>
      </c>
      <c r="D229" s="63">
        <f>D228</f>
        <v>0.16000000000000003</v>
      </c>
      <c r="E229" s="679"/>
      <c r="F229" s="41">
        <f>D229*E229</f>
        <v>0</v>
      </c>
    </row>
    <row r="230" spans="1:43">
      <c r="A230" s="38" t="s">
        <v>1032</v>
      </c>
      <c r="B230" s="39" t="s">
        <v>397</v>
      </c>
      <c r="C230" s="62" t="s">
        <v>10</v>
      </c>
      <c r="D230" s="63">
        <f>SUM(D227:D227)</f>
        <v>2</v>
      </c>
      <c r="E230" s="679"/>
      <c r="F230" s="41">
        <f>D230*E230</f>
        <v>0</v>
      </c>
    </row>
    <row r="231" spans="1:43">
      <c r="A231" s="38"/>
      <c r="B231" s="39"/>
      <c r="C231" s="62"/>
      <c r="D231" s="63"/>
      <c r="E231" s="64"/>
      <c r="F231" s="41"/>
    </row>
    <row r="232" spans="1:43" s="4" customFormat="1" ht="14.25">
      <c r="A232" s="33"/>
      <c r="B232" s="61" t="s">
        <v>410</v>
      </c>
      <c r="C232" s="34"/>
      <c r="D232" s="35"/>
      <c r="E232" s="36"/>
      <c r="F232" s="37"/>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row>
    <row r="233" spans="1:43" ht="57">
      <c r="A233" s="38" t="s">
        <v>1033</v>
      </c>
      <c r="B233" s="39" t="s">
        <v>395</v>
      </c>
      <c r="C233" s="62" t="s">
        <v>116</v>
      </c>
      <c r="D233" s="63">
        <v>50</v>
      </c>
      <c r="E233" s="679"/>
      <c r="F233" s="41">
        <f>D233*E233</f>
        <v>0</v>
      </c>
    </row>
    <row r="234" spans="1:43">
      <c r="A234" s="38"/>
      <c r="B234" s="39"/>
      <c r="C234" s="62"/>
      <c r="D234" s="63"/>
      <c r="E234" s="64"/>
      <c r="F234" s="41"/>
    </row>
    <row r="235" spans="1:43">
      <c r="A235" s="38" t="s">
        <v>1034</v>
      </c>
      <c r="B235" s="39" t="s">
        <v>409</v>
      </c>
      <c r="C235" s="62" t="s">
        <v>10</v>
      </c>
      <c r="D235" s="63">
        <v>210</v>
      </c>
      <c r="E235" s="679"/>
      <c r="F235" s="41">
        <f>D235*E235</f>
        <v>0</v>
      </c>
    </row>
    <row r="236" spans="1:43">
      <c r="A236" s="38"/>
      <c r="B236" s="39"/>
      <c r="C236" s="62"/>
      <c r="D236" s="63"/>
      <c r="E236" s="64"/>
      <c r="F236" s="41"/>
    </row>
    <row r="237" spans="1:43" ht="28.5">
      <c r="A237" s="38" t="s">
        <v>1035</v>
      </c>
      <c r="B237" s="39" t="s">
        <v>408</v>
      </c>
      <c r="C237" s="62" t="s">
        <v>11</v>
      </c>
      <c r="D237" s="63">
        <v>230</v>
      </c>
      <c r="E237" s="679"/>
      <c r="F237" s="41">
        <f>D237*E237</f>
        <v>0</v>
      </c>
    </row>
    <row r="238" spans="1:43">
      <c r="A238" s="38"/>
      <c r="B238" s="39"/>
      <c r="C238" s="62"/>
      <c r="D238" s="63"/>
      <c r="E238" s="64"/>
      <c r="F238" s="41"/>
    </row>
    <row r="239" spans="1:43">
      <c r="A239" s="232" t="s">
        <v>1036</v>
      </c>
      <c r="B239" s="39" t="s">
        <v>407</v>
      </c>
      <c r="C239" s="62" t="s">
        <v>11</v>
      </c>
      <c r="D239" s="63">
        <v>230</v>
      </c>
      <c r="E239" s="679"/>
      <c r="F239" s="41">
        <f>D239*E239</f>
        <v>0</v>
      </c>
    </row>
    <row r="240" spans="1:43" s="4" customFormat="1" ht="14.25">
      <c r="A240" s="33"/>
      <c r="B240" s="61"/>
      <c r="C240" s="34"/>
      <c r="D240" s="35"/>
      <c r="E240" s="36"/>
      <c r="F240" s="37"/>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row>
    <row r="241" spans="1:43" s="4" customFormat="1" ht="14.25">
      <c r="A241" s="33"/>
      <c r="B241" s="61" t="s">
        <v>406</v>
      </c>
      <c r="C241" s="34"/>
      <c r="D241" s="35"/>
      <c r="E241" s="36"/>
      <c r="F241" s="37"/>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row>
    <row r="242" spans="1:43">
      <c r="A242" s="38" t="s">
        <v>1037</v>
      </c>
      <c r="B242" s="208" t="s">
        <v>405</v>
      </c>
      <c r="C242" s="62" t="s">
        <v>10</v>
      </c>
      <c r="D242" s="63">
        <v>325</v>
      </c>
      <c r="E242" s="679"/>
      <c r="F242" s="41">
        <f>D242*E242</f>
        <v>0</v>
      </c>
    </row>
    <row r="243" spans="1:43">
      <c r="A243" s="38" t="s">
        <v>1038</v>
      </c>
      <c r="B243" s="39" t="s">
        <v>400</v>
      </c>
      <c r="C243" s="62" t="s">
        <v>40</v>
      </c>
      <c r="D243" s="63">
        <f>D242*(0.2*0.2*0.2)</f>
        <v>2.6000000000000005</v>
      </c>
      <c r="E243" s="679"/>
      <c r="F243" s="41">
        <f>D243*E243</f>
        <v>0</v>
      </c>
    </row>
    <row r="244" spans="1:43" ht="28.5">
      <c r="A244" s="232" t="s">
        <v>1039</v>
      </c>
      <c r="B244" s="39" t="s">
        <v>399</v>
      </c>
      <c r="C244" s="62" t="s">
        <v>40</v>
      </c>
      <c r="D244" s="63">
        <f>D243</f>
        <v>2.6000000000000005</v>
      </c>
      <c r="E244" s="679"/>
      <c r="F244" s="41">
        <f>D244*E244</f>
        <v>0</v>
      </c>
    </row>
    <row r="245" spans="1:43">
      <c r="A245" s="232" t="s">
        <v>1040</v>
      </c>
      <c r="B245" s="39" t="s">
        <v>397</v>
      </c>
      <c r="C245" s="62" t="s">
        <v>10</v>
      </c>
      <c r="D245" s="63">
        <f>D242</f>
        <v>325</v>
      </c>
      <c r="E245" s="679"/>
      <c r="F245" s="41">
        <f>D245*E245</f>
        <v>0</v>
      </c>
    </row>
    <row r="246" spans="1:43">
      <c r="A246" s="38"/>
      <c r="B246" s="39"/>
      <c r="C246" s="62"/>
      <c r="D246" s="63"/>
      <c r="E246" s="64"/>
      <c r="F246" s="41"/>
    </row>
    <row r="247" spans="1:43">
      <c r="A247" s="38" t="s">
        <v>1041</v>
      </c>
      <c r="B247" s="208" t="s">
        <v>404</v>
      </c>
      <c r="C247" s="62" t="s">
        <v>10</v>
      </c>
      <c r="D247" s="63">
        <f>110*11</f>
        <v>1210</v>
      </c>
      <c r="E247" s="679"/>
      <c r="F247" s="41">
        <f>D247*E247</f>
        <v>0</v>
      </c>
    </row>
    <row r="248" spans="1:43">
      <c r="A248" s="38" t="s">
        <v>1042</v>
      </c>
      <c r="B248" s="39" t="s">
        <v>400</v>
      </c>
      <c r="C248" s="62" t="s">
        <v>40</v>
      </c>
      <c r="D248" s="63">
        <f>D247*(0.2*0.2*0.2)</f>
        <v>9.6800000000000015</v>
      </c>
      <c r="E248" s="679"/>
      <c r="F248" s="41">
        <f>D248*E248</f>
        <v>0</v>
      </c>
    </row>
    <row r="249" spans="1:43" ht="28.5">
      <c r="A249" s="232" t="s">
        <v>1043</v>
      </c>
      <c r="B249" s="39" t="s">
        <v>399</v>
      </c>
      <c r="C249" s="62" t="s">
        <v>40</v>
      </c>
      <c r="D249" s="63">
        <f>D248</f>
        <v>9.6800000000000015</v>
      </c>
      <c r="E249" s="679"/>
      <c r="F249" s="41">
        <f>D249*E249</f>
        <v>0</v>
      </c>
    </row>
    <row r="250" spans="1:43">
      <c r="A250" s="232" t="s">
        <v>1044</v>
      </c>
      <c r="B250" s="39" t="s">
        <v>397</v>
      </c>
      <c r="C250" s="62" t="s">
        <v>10</v>
      </c>
      <c r="D250" s="63">
        <f>D247</f>
        <v>1210</v>
      </c>
      <c r="E250" s="679"/>
      <c r="F250" s="41">
        <f>D250*E250</f>
        <v>0</v>
      </c>
    </row>
    <row r="251" spans="1:43">
      <c r="A251" s="38"/>
      <c r="B251" s="39"/>
      <c r="C251" s="62"/>
      <c r="D251" s="63"/>
      <c r="E251" s="64"/>
      <c r="F251" s="41"/>
    </row>
    <row r="252" spans="1:43">
      <c r="A252" s="38" t="s">
        <v>1045</v>
      </c>
      <c r="B252" s="208" t="s">
        <v>403</v>
      </c>
      <c r="C252" s="62" t="s">
        <v>10</v>
      </c>
      <c r="D252" s="63">
        <v>2060</v>
      </c>
      <c r="E252" s="679"/>
      <c r="F252" s="41">
        <f>D252*E252</f>
        <v>0</v>
      </c>
    </row>
    <row r="253" spans="1:43">
      <c r="A253" s="38" t="s">
        <v>1046</v>
      </c>
      <c r="B253" s="39" t="s">
        <v>400</v>
      </c>
      <c r="C253" s="62" t="s">
        <v>40</v>
      </c>
      <c r="D253" s="63">
        <f>D252*(0.2*0.2*0.2)</f>
        <v>16.480000000000004</v>
      </c>
      <c r="E253" s="679"/>
      <c r="F253" s="41">
        <f>D253*E253</f>
        <v>0</v>
      </c>
    </row>
    <row r="254" spans="1:43" ht="28.5">
      <c r="A254" s="232" t="s">
        <v>1047</v>
      </c>
      <c r="B254" s="39" t="s">
        <v>399</v>
      </c>
      <c r="C254" s="62" t="s">
        <v>40</v>
      </c>
      <c r="D254" s="63">
        <f>D253</f>
        <v>16.480000000000004</v>
      </c>
      <c r="E254" s="679"/>
      <c r="F254" s="41">
        <f>D254*E254</f>
        <v>0</v>
      </c>
    </row>
    <row r="255" spans="1:43">
      <c r="A255" s="232" t="s">
        <v>1048</v>
      </c>
      <c r="B255" s="39" t="s">
        <v>397</v>
      </c>
      <c r="C255" s="62" t="s">
        <v>10</v>
      </c>
      <c r="D255" s="63">
        <f>D252</f>
        <v>2060</v>
      </c>
      <c r="E255" s="679"/>
      <c r="F255" s="41">
        <f>D255*E255</f>
        <v>0</v>
      </c>
    </row>
    <row r="256" spans="1:43">
      <c r="A256" s="38"/>
      <c r="B256" s="39"/>
      <c r="C256" s="62"/>
      <c r="D256" s="63"/>
      <c r="E256" s="64"/>
      <c r="F256" s="41"/>
    </row>
    <row r="257" spans="1:43">
      <c r="A257" s="38" t="s">
        <v>1049</v>
      </c>
      <c r="B257" s="208" t="s">
        <v>402</v>
      </c>
      <c r="C257" s="62" t="s">
        <v>10</v>
      </c>
      <c r="D257" s="63">
        <v>1512</v>
      </c>
      <c r="E257" s="679"/>
      <c r="F257" s="41">
        <f>D257*E257</f>
        <v>0</v>
      </c>
    </row>
    <row r="258" spans="1:43">
      <c r="A258" s="38" t="s">
        <v>1050</v>
      </c>
      <c r="B258" s="39" t="s">
        <v>400</v>
      </c>
      <c r="C258" s="62" t="s">
        <v>40</v>
      </c>
      <c r="D258" s="63">
        <f>D257*(0.2*0.2*0.2)</f>
        <v>12.096000000000004</v>
      </c>
      <c r="E258" s="679"/>
      <c r="F258" s="41">
        <f>D258*E258</f>
        <v>0</v>
      </c>
    </row>
    <row r="259" spans="1:43" ht="28.5">
      <c r="A259" s="38" t="s">
        <v>1051</v>
      </c>
      <c r="B259" s="39" t="s">
        <v>399</v>
      </c>
      <c r="C259" s="62" t="s">
        <v>40</v>
      </c>
      <c r="D259" s="63">
        <f>D258</f>
        <v>12.096000000000004</v>
      </c>
      <c r="E259" s="679"/>
      <c r="F259" s="41">
        <f>D259*E259</f>
        <v>0</v>
      </c>
    </row>
    <row r="260" spans="1:43">
      <c r="A260" s="38" t="s">
        <v>1052</v>
      </c>
      <c r="B260" s="39" t="s">
        <v>397</v>
      </c>
      <c r="C260" s="62" t="s">
        <v>10</v>
      </c>
      <c r="D260" s="63">
        <f>D257</f>
        <v>1512</v>
      </c>
      <c r="E260" s="679"/>
      <c r="F260" s="41">
        <f>D260*E260</f>
        <v>0</v>
      </c>
    </row>
    <row r="261" spans="1:43">
      <c r="A261" s="38"/>
      <c r="B261" s="39"/>
      <c r="C261" s="62"/>
      <c r="D261" s="63"/>
      <c r="E261" s="64"/>
      <c r="F261" s="41"/>
    </row>
    <row r="262" spans="1:43" ht="28.5">
      <c r="A262" s="38" t="s">
        <v>1053</v>
      </c>
      <c r="B262" s="208" t="s">
        <v>401</v>
      </c>
      <c r="C262" s="62" t="s">
        <v>10</v>
      </c>
      <c r="D262" s="63">
        <v>20</v>
      </c>
      <c r="E262" s="679"/>
      <c r="F262" s="41">
        <f>D262*E262</f>
        <v>0</v>
      </c>
    </row>
    <row r="263" spans="1:43">
      <c r="A263" s="38" t="s">
        <v>1054</v>
      </c>
      <c r="B263" s="39" t="s">
        <v>400</v>
      </c>
      <c r="C263" s="62" t="s">
        <v>40</v>
      </c>
      <c r="D263" s="63">
        <f>D262*(0.2*0.2*0.2)</f>
        <v>0.16000000000000003</v>
      </c>
      <c r="E263" s="679"/>
      <c r="F263" s="41">
        <f>D263*E263</f>
        <v>0</v>
      </c>
    </row>
    <row r="264" spans="1:43" ht="28.5">
      <c r="A264" s="38" t="s">
        <v>1055</v>
      </c>
      <c r="B264" s="39" t="s">
        <v>399</v>
      </c>
      <c r="C264" s="62" t="s">
        <v>40</v>
      </c>
      <c r="D264" s="63">
        <f>D263</f>
        <v>0.16000000000000003</v>
      </c>
      <c r="E264" s="679"/>
      <c r="F264" s="41">
        <f>D264*E264</f>
        <v>0</v>
      </c>
    </row>
    <row r="265" spans="1:43">
      <c r="A265" s="38" t="s">
        <v>1056</v>
      </c>
      <c r="B265" s="39" t="s">
        <v>398</v>
      </c>
      <c r="C265" s="62" t="s">
        <v>11</v>
      </c>
      <c r="D265" s="63">
        <v>20</v>
      </c>
      <c r="E265" s="679"/>
      <c r="F265" s="41">
        <f>D265*E265</f>
        <v>0</v>
      </c>
    </row>
    <row r="266" spans="1:43">
      <c r="A266" s="38" t="s">
        <v>1059</v>
      </c>
      <c r="B266" s="39" t="s">
        <v>397</v>
      </c>
      <c r="C266" s="62" t="s">
        <v>10</v>
      </c>
      <c r="D266" s="63">
        <f>D262</f>
        <v>20</v>
      </c>
      <c r="E266" s="679"/>
      <c r="F266" s="41">
        <f>D266*E266</f>
        <v>0</v>
      </c>
    </row>
    <row r="267" spans="1:43">
      <c r="A267" s="38"/>
      <c r="B267" s="39"/>
      <c r="C267" s="62"/>
      <c r="D267" s="63"/>
      <c r="E267" s="64"/>
      <c r="F267" s="41"/>
    </row>
    <row r="268" spans="1:43" s="4" customFormat="1" ht="14.25">
      <c r="A268" s="33"/>
      <c r="B268" s="61" t="s">
        <v>396</v>
      </c>
      <c r="C268" s="34"/>
      <c r="D268" s="35"/>
      <c r="E268" s="36"/>
      <c r="F268" s="37"/>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row>
    <row r="269" spans="1:43" ht="57">
      <c r="A269" s="38" t="s">
        <v>1060</v>
      </c>
      <c r="B269" s="39" t="s">
        <v>395</v>
      </c>
      <c r="C269" s="62" t="s">
        <v>116</v>
      </c>
      <c r="D269" s="63">
        <v>95</v>
      </c>
      <c r="E269" s="679"/>
      <c r="F269" s="41">
        <f t="shared" ref="F269:F279" si="1">D269*E269</f>
        <v>0</v>
      </c>
    </row>
    <row r="270" spans="1:43">
      <c r="A270" s="38"/>
      <c r="B270" s="39"/>
      <c r="C270" s="62"/>
      <c r="D270" s="63"/>
      <c r="E270" s="64"/>
      <c r="F270" s="41"/>
    </row>
    <row r="271" spans="1:43">
      <c r="A271" s="38" t="s">
        <v>1061</v>
      </c>
      <c r="B271" s="39" t="s">
        <v>394</v>
      </c>
      <c r="C271" s="62" t="s">
        <v>10</v>
      </c>
      <c r="D271" s="63">
        <f>D242+D247+D252+D257+D262</f>
        <v>5127</v>
      </c>
      <c r="E271" s="679"/>
      <c r="F271" s="41">
        <f t="shared" si="1"/>
        <v>0</v>
      </c>
    </row>
    <row r="272" spans="1:43">
      <c r="A272" s="38"/>
      <c r="B272" s="39"/>
      <c r="C272" s="62"/>
      <c r="D272" s="63"/>
      <c r="E272" s="64"/>
      <c r="F272" s="41"/>
    </row>
    <row r="273" spans="1:43" ht="28.5">
      <c r="A273" s="38" t="s">
        <v>1062</v>
      </c>
      <c r="B273" s="39" t="s">
        <v>393</v>
      </c>
      <c r="C273" s="62" t="s">
        <v>11</v>
      </c>
      <c r="D273" s="63">
        <v>721</v>
      </c>
      <c r="E273" s="679"/>
      <c r="F273" s="41">
        <f t="shared" si="1"/>
        <v>0</v>
      </c>
    </row>
    <row r="274" spans="1:43">
      <c r="A274" s="38"/>
      <c r="B274" s="39"/>
      <c r="C274" s="62"/>
      <c r="D274" s="63"/>
      <c r="E274" s="64"/>
      <c r="F274" s="41"/>
    </row>
    <row r="275" spans="1:43" ht="28.5">
      <c r="A275" s="38" t="s">
        <v>1063</v>
      </c>
      <c r="B275" s="39" t="s">
        <v>392</v>
      </c>
      <c r="C275" s="62" t="s">
        <v>10</v>
      </c>
      <c r="D275" s="63">
        <v>40</v>
      </c>
      <c r="E275" s="679"/>
      <c r="F275" s="41">
        <f t="shared" si="1"/>
        <v>0</v>
      </c>
    </row>
    <row r="276" spans="1:43">
      <c r="A276" s="38"/>
      <c r="B276" s="39"/>
      <c r="C276" s="62"/>
      <c r="D276" s="63"/>
      <c r="E276" s="64"/>
      <c r="F276" s="41"/>
    </row>
    <row r="277" spans="1:43">
      <c r="A277" s="38" t="s">
        <v>1064</v>
      </c>
      <c r="B277" s="39" t="s">
        <v>391</v>
      </c>
      <c r="C277" s="62" t="s">
        <v>11</v>
      </c>
      <c r="D277" s="63">
        <v>721</v>
      </c>
      <c r="E277" s="679"/>
      <c r="F277" s="41">
        <f t="shared" si="1"/>
        <v>0</v>
      </c>
    </row>
    <row r="278" spans="1:43">
      <c r="A278" s="38"/>
      <c r="B278" s="39"/>
      <c r="C278" s="62"/>
      <c r="D278" s="63"/>
      <c r="E278" s="64"/>
      <c r="F278" s="41"/>
    </row>
    <row r="279" spans="1:43">
      <c r="A279" s="38" t="s">
        <v>1065</v>
      </c>
      <c r="B279" s="39" t="s">
        <v>390</v>
      </c>
      <c r="C279" s="62" t="s">
        <v>10</v>
      </c>
      <c r="D279" s="63">
        <v>40</v>
      </c>
      <c r="E279" s="679"/>
      <c r="F279" s="41">
        <f t="shared" si="1"/>
        <v>0</v>
      </c>
    </row>
    <row r="280" spans="1:43">
      <c r="A280" s="38"/>
      <c r="B280" s="39"/>
      <c r="C280" s="62"/>
      <c r="D280" s="63"/>
      <c r="E280" s="64"/>
      <c r="F280" s="41"/>
    </row>
    <row r="281" spans="1:43" s="4" customFormat="1" ht="14.25">
      <c r="A281" s="33"/>
      <c r="B281" s="61" t="s">
        <v>389</v>
      </c>
      <c r="C281" s="34"/>
      <c r="D281" s="35"/>
      <c r="E281" s="36"/>
      <c r="F281" s="37"/>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row>
    <row r="282" spans="1:43" ht="57">
      <c r="A282" s="38" t="s">
        <v>1068</v>
      </c>
      <c r="B282" s="39" t="s">
        <v>388</v>
      </c>
      <c r="C282" s="62" t="s">
        <v>40</v>
      </c>
      <c r="D282" s="63">
        <f>(D16+D22+D28+D34+D40+D46+D52+D58+D64+D70+D76+D82+D88+D94+D100+D106+D112+D118+D124+D130+D136+D142+D148+D154+D178+D188+D193+D198+D203+D208+D213+D218+D223+D183)*0.4</f>
        <v>66.547200000000046</v>
      </c>
      <c r="E282" s="679"/>
      <c r="F282" s="41">
        <f>D282*E282</f>
        <v>0</v>
      </c>
    </row>
    <row r="283" spans="1:43">
      <c r="A283" s="38"/>
      <c r="B283" s="39"/>
      <c r="C283" s="62"/>
      <c r="D283" s="63"/>
      <c r="E283" s="64"/>
      <c r="F283" s="41"/>
    </row>
    <row r="284" spans="1:43" s="4" customFormat="1" ht="14.25">
      <c r="A284" s="33"/>
      <c r="B284" s="61" t="s">
        <v>387</v>
      </c>
      <c r="C284" s="34"/>
      <c r="D284" s="35"/>
      <c r="E284" s="36"/>
      <c r="F284" s="37"/>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row>
    <row r="285" spans="1:43">
      <c r="A285" s="38"/>
      <c r="B285" s="39" t="s">
        <v>1066</v>
      </c>
      <c r="C285" s="62"/>
      <c r="D285" s="63"/>
      <c r="E285" s="64"/>
      <c r="F285" s="41"/>
    </row>
    <row r="286" spans="1:43" ht="53.25" customHeight="1">
      <c r="A286" s="38" t="s">
        <v>1069</v>
      </c>
      <c r="B286" s="39" t="s">
        <v>386</v>
      </c>
      <c r="C286" s="62" t="s">
        <v>11</v>
      </c>
      <c r="D286" s="63">
        <v>3200</v>
      </c>
      <c r="E286" s="679"/>
      <c r="F286" s="41">
        <f>D286*E286</f>
        <v>0</v>
      </c>
    </row>
    <row r="287" spans="1:43" ht="28.5">
      <c r="A287" s="38" t="s">
        <v>1070</v>
      </c>
      <c r="B287" s="39" t="s">
        <v>385</v>
      </c>
      <c r="C287" s="62" t="s">
        <v>11</v>
      </c>
      <c r="D287" s="63">
        <f>D286</f>
        <v>3200</v>
      </c>
      <c r="E287" s="679"/>
      <c r="F287" s="41">
        <f>D287*E287</f>
        <v>0</v>
      </c>
    </row>
    <row r="288" spans="1:43">
      <c r="A288" s="38"/>
      <c r="B288" s="39"/>
      <c r="C288" s="62"/>
      <c r="D288" s="63"/>
      <c r="E288" s="64"/>
      <c r="F288" s="41"/>
    </row>
    <row r="289" spans="1:43" ht="28.5">
      <c r="A289" s="38"/>
      <c r="B289" s="39" t="s">
        <v>1067</v>
      </c>
      <c r="C289" s="62"/>
      <c r="D289" s="63"/>
      <c r="E289" s="64"/>
      <c r="F289" s="41"/>
    </row>
    <row r="290" spans="1:43" ht="39.75">
      <c r="A290" s="38" t="s">
        <v>1071</v>
      </c>
      <c r="B290" s="39" t="s">
        <v>384</v>
      </c>
      <c r="C290" s="62" t="s">
        <v>11</v>
      </c>
      <c r="D290" s="63">
        <f>120+70+95</f>
        <v>285</v>
      </c>
      <c r="E290" s="679"/>
      <c r="F290" s="41">
        <f>D290*E290</f>
        <v>0</v>
      </c>
    </row>
    <row r="291" spans="1:43" ht="60.75" customHeight="1">
      <c r="A291" s="38" t="s">
        <v>1072</v>
      </c>
      <c r="B291" s="39" t="s">
        <v>383</v>
      </c>
      <c r="C291" s="62" t="s">
        <v>11</v>
      </c>
      <c r="D291" s="63">
        <f>D290</f>
        <v>285</v>
      </c>
      <c r="E291" s="679"/>
      <c r="F291" s="41">
        <f>D291*E291</f>
        <v>0</v>
      </c>
    </row>
    <row r="292" spans="1:43">
      <c r="A292" s="38"/>
      <c r="B292" s="39"/>
      <c r="C292" s="62"/>
      <c r="D292" s="63"/>
      <c r="E292" s="64"/>
      <c r="F292" s="41"/>
    </row>
    <row r="293" spans="1:43" s="4" customFormat="1" ht="14.25">
      <c r="A293" s="33"/>
      <c r="B293" s="61" t="s">
        <v>382</v>
      </c>
      <c r="C293" s="34"/>
      <c r="D293" s="35"/>
      <c r="E293" s="36"/>
      <c r="F293" s="37"/>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row>
    <row r="294" spans="1:43" ht="72" customHeight="1">
      <c r="A294" s="38" t="s">
        <v>1073</v>
      </c>
      <c r="B294" s="39" t="s">
        <v>381</v>
      </c>
      <c r="C294" s="62" t="s">
        <v>11</v>
      </c>
      <c r="D294" s="63">
        <v>250</v>
      </c>
      <c r="E294" s="679"/>
      <c r="F294" s="41">
        <f>D294*E294</f>
        <v>0</v>
      </c>
    </row>
    <row r="295" spans="1:43">
      <c r="A295" s="38"/>
      <c r="B295" s="39"/>
      <c r="C295" s="62"/>
      <c r="D295" s="63"/>
      <c r="E295" s="64"/>
      <c r="F295" s="41"/>
    </row>
    <row r="296" spans="1:43" ht="76.5">
      <c r="A296" s="38" t="s">
        <v>1590</v>
      </c>
      <c r="B296" s="220" t="s">
        <v>380</v>
      </c>
      <c r="C296" s="62" t="s">
        <v>11</v>
      </c>
      <c r="D296" s="63">
        <v>310</v>
      </c>
      <c r="E296" s="679"/>
      <c r="F296" s="41">
        <f>D296*E296</f>
        <v>0</v>
      </c>
    </row>
    <row r="297" spans="1:43" ht="15.75" thickBot="1">
      <c r="A297" s="42"/>
      <c r="B297" s="43"/>
      <c r="C297" s="44"/>
      <c r="D297" s="45"/>
      <c r="E297" s="46"/>
      <c r="F297" s="47"/>
    </row>
    <row r="298" spans="1:43" ht="16.5" thickTop="1" thickBot="1">
      <c r="A298" s="48" t="s">
        <v>834</v>
      </c>
      <c r="B298" s="49" t="s">
        <v>1057</v>
      </c>
      <c r="C298" s="50"/>
      <c r="D298" s="51"/>
      <c r="E298" s="52"/>
      <c r="F298" s="53">
        <f>SUM(F9:F297)</f>
        <v>0</v>
      </c>
    </row>
    <row r="299" spans="1:43" ht="16.5" thickTop="1" thickBot="1">
      <c r="A299" s="38"/>
      <c r="B299" s="57"/>
      <c r="C299" s="77"/>
      <c r="D299" s="78"/>
      <c r="E299" s="79"/>
      <c r="F299" s="56"/>
    </row>
    <row r="300" spans="1:43" ht="18" thickBot="1">
      <c r="A300" s="75" t="s">
        <v>834</v>
      </c>
      <c r="B300" s="76" t="s">
        <v>1058</v>
      </c>
      <c r="C300" s="25"/>
      <c r="D300" s="60"/>
      <c r="E300" s="26"/>
      <c r="F300" s="80">
        <f>F298</f>
        <v>0</v>
      </c>
    </row>
  </sheetData>
  <sheetProtection algorithmName="SHA-512" hashValue="3BGasE+/jkGzHCEG5ZRYU10HCIO9YHy4jtpgYv1jcdi60dXCv4ORtV6IYOpWkdwq9vTHAUxP6DCRFF80FKh5Ug==" saltValue="ovNd5I8ECWfuGN3aztpd/Q==" spinCount="100000" sheet="1" objects="1" scenarios="1" selectLockedCells="1"/>
  <customSheetViews>
    <customSheetView guid="{14FA32B8-8DA0-4B39-A6E2-254F8891DDCC}" scale="60" showPageBreaks="1" printArea="1" view="pageBreakPreview" topLeftCell="A334">
      <selection activeCell="H361" sqref="H361"/>
      <rowBreaks count="6" manualBreakCount="6">
        <brk id="50" max="5" man="1"/>
        <brk id="98" max="5" man="1"/>
        <brk id="146" max="5" man="1"/>
        <brk id="234" max="5" man="1"/>
        <brk id="284" max="5" man="1"/>
        <brk id="340" max="5" man="1"/>
      </rowBreaks>
      <colBreaks count="1" manualBreakCount="1">
        <brk id="6" max="1048575" man="1"/>
      </colBreaks>
      <pageMargins left="0.7" right="0.7" top="0.75" bottom="0.75" header="0.3" footer="0.3"/>
      <pageSetup paperSize="9" scale="69"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69" orientation="portrait" r:id="rId2"/>
  <headerFooter>
    <oddHeader>&amp;CUREDITEV RAFUTSKEGA PARKA Z LAŠČAKOVO VILO - Park&amp;RLUZ, d.d.</oddHeader>
    <oddFooter>&amp;C&amp;P</oddFooter>
  </headerFooter>
  <rowBreaks count="5" manualBreakCount="5">
    <brk id="50" max="5" man="1"/>
    <brk id="98" max="5" man="1"/>
    <brk id="146" max="5" man="1"/>
    <brk id="181" max="5" man="1"/>
    <brk id="231" max="5" man="1"/>
  </rowBreaks>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2" tint="-0.249977111117893"/>
  </sheetPr>
  <dimension ref="A1:J147"/>
  <sheetViews>
    <sheetView view="pageBreakPreview" zoomScale="80" zoomScaleNormal="100" zoomScaleSheetLayoutView="80" workbookViewId="0">
      <pane ySplit="6" topLeftCell="A90" activePane="bottomLeft" state="frozen"/>
      <selection pane="bottomLeft" activeCell="E127" sqref="E127"/>
    </sheetView>
  </sheetViews>
  <sheetFormatPr defaultColWidth="9.140625" defaultRowHeight="15"/>
  <cols>
    <col min="1" max="1" width="10.42578125" style="742" customWidth="1"/>
    <col min="2" max="2" width="75.5703125" style="742" customWidth="1"/>
    <col min="3" max="3" width="6.42578125" style="742" customWidth="1"/>
    <col min="4" max="4" width="9.42578125" style="742" customWidth="1"/>
    <col min="5" max="5" width="11.7109375" style="742" bestFit="1" customWidth="1"/>
    <col min="6" max="6" width="13.7109375" style="742" customWidth="1"/>
    <col min="7" max="7" width="12.28515625" style="1287" customWidth="1"/>
    <col min="8" max="8" width="12.42578125" style="1287" customWidth="1"/>
    <col min="9" max="9" width="9.140625" style="742" customWidth="1"/>
    <col min="10" max="16384" width="9.140625" style="742"/>
  </cols>
  <sheetData>
    <row r="1" spans="1:10" s="571" customFormat="1">
      <c r="A1" s="1355" t="str">
        <f>Info!B1</f>
        <v>UREDITEV RAFUTSKEGA PARKA Z LAŠČAKOVO VILO - Park</v>
      </c>
      <c r="B1" s="1356"/>
      <c r="C1" s="1356"/>
      <c r="D1" s="1356"/>
      <c r="E1" s="1356"/>
      <c r="F1" s="1356"/>
      <c r="G1" s="1283"/>
      <c r="H1" s="1284"/>
    </row>
    <row r="2" spans="1:10" s="571" customFormat="1" ht="15.75" thickBot="1">
      <c r="A2" s="1358"/>
      <c r="B2" s="1359"/>
      <c r="C2" s="1359"/>
      <c r="D2" s="1359"/>
      <c r="E2" s="1359"/>
      <c r="F2" s="1359"/>
      <c r="G2" s="1283"/>
      <c r="H2" s="1284"/>
    </row>
    <row r="3" spans="1:10" s="571" customFormat="1" ht="15.75" thickBot="1">
      <c r="A3" s="1361"/>
      <c r="B3" s="1362"/>
      <c r="C3" s="5"/>
      <c r="D3" s="572"/>
      <c r="E3" s="573"/>
      <c r="F3" s="1280"/>
      <c r="G3" s="1283"/>
      <c r="H3" s="1284"/>
    </row>
    <row r="4" spans="1:10" s="571" customFormat="1" ht="18" thickBot="1">
      <c r="A4" s="1363" t="s">
        <v>629</v>
      </c>
      <c r="B4" s="1364"/>
      <c r="C4" s="1364"/>
      <c r="D4" s="1364"/>
      <c r="E4" s="1364"/>
      <c r="F4" s="1364"/>
      <c r="G4" s="1283"/>
      <c r="H4" s="1284"/>
    </row>
    <row r="5" spans="1:10" s="571" customFormat="1">
      <c r="A5" s="577"/>
      <c r="B5" s="578"/>
      <c r="C5" s="579"/>
      <c r="D5" s="579"/>
      <c r="E5" s="580"/>
      <c r="F5" s="1281"/>
      <c r="G5" s="1283"/>
      <c r="H5" s="1284"/>
    </row>
    <row r="6" spans="1:10" s="571" customFormat="1" ht="71.25">
      <c r="A6" s="582" t="s">
        <v>1</v>
      </c>
      <c r="B6" s="583" t="s">
        <v>2</v>
      </c>
      <c r="C6" s="584" t="s">
        <v>4</v>
      </c>
      <c r="D6" s="585" t="s">
        <v>9</v>
      </c>
      <c r="E6" s="586" t="s">
        <v>5</v>
      </c>
      <c r="F6" s="586" t="s">
        <v>6</v>
      </c>
      <c r="G6" s="1285" t="s">
        <v>1610</v>
      </c>
      <c r="H6" s="586" t="s">
        <v>1611</v>
      </c>
    </row>
    <row r="7" spans="1:10" ht="15.75" thickBot="1">
      <c r="A7" s="738"/>
      <c r="B7" s="739"/>
      <c r="C7" s="311"/>
      <c r="D7" s="740"/>
      <c r="E7" s="312"/>
      <c r="F7" s="312"/>
      <c r="G7" s="1286"/>
    </row>
    <row r="8" spans="1:10" s="571" customFormat="1" ht="18" thickBot="1">
      <c r="A8" s="596" t="s">
        <v>239</v>
      </c>
      <c r="B8" s="596" t="s">
        <v>170</v>
      </c>
      <c r="C8" s="598"/>
      <c r="D8" s="599"/>
      <c r="E8" s="600"/>
      <c r="F8" s="603"/>
      <c r="G8" s="601"/>
      <c r="H8" s="601"/>
    </row>
    <row r="9" spans="1:10" s="744" customFormat="1" ht="26.25">
      <c r="A9" s="282" t="s">
        <v>597</v>
      </c>
      <c r="B9" s="285" t="s">
        <v>596</v>
      </c>
      <c r="C9" s="286" t="s">
        <v>543</v>
      </c>
      <c r="D9" s="743">
        <v>13.51</v>
      </c>
      <c r="E9" s="293"/>
      <c r="F9" s="295">
        <f>D9*E9</f>
        <v>0</v>
      </c>
      <c r="G9" s="1288">
        <f>0.2908*F9</f>
        <v>0</v>
      </c>
      <c r="H9" s="300">
        <f>0.7092*F9</f>
        <v>0</v>
      </c>
      <c r="I9" s="287"/>
      <c r="J9" s="287"/>
    </row>
    <row r="10" spans="1:10" s="744" customFormat="1">
      <c r="A10" s="282"/>
      <c r="B10" s="285"/>
      <c r="C10" s="286"/>
      <c r="D10" s="284"/>
      <c r="E10" s="295"/>
      <c r="F10" s="295"/>
      <c r="G10" s="1288"/>
      <c r="H10" s="300"/>
      <c r="I10" s="287"/>
      <c r="J10" s="287"/>
    </row>
    <row r="11" spans="1:10" s="744" customFormat="1" ht="26.25">
      <c r="A11" s="282" t="s">
        <v>595</v>
      </c>
      <c r="B11" s="285" t="s">
        <v>594</v>
      </c>
      <c r="C11" s="286" t="s">
        <v>549</v>
      </c>
      <c r="D11" s="284">
        <v>3</v>
      </c>
      <c r="E11" s="293"/>
      <c r="F11" s="295">
        <f>D11*E11</f>
        <v>0</v>
      </c>
      <c r="G11" s="1288">
        <f>0.3333*F11</f>
        <v>0</v>
      </c>
      <c r="H11" s="300">
        <f>0.6666*F11</f>
        <v>0</v>
      </c>
      <c r="I11" s="287"/>
      <c r="J11" s="287"/>
    </row>
    <row r="12" spans="1:10" s="744" customFormat="1">
      <c r="A12" s="282"/>
      <c r="B12" s="285"/>
      <c r="C12" s="286"/>
      <c r="D12" s="284"/>
      <c r="E12" s="295"/>
      <c r="F12" s="295"/>
      <c r="G12" s="1288"/>
      <c r="H12" s="300"/>
      <c r="I12" s="287"/>
      <c r="J12" s="287"/>
    </row>
    <row r="13" spans="1:10" s="744" customFormat="1" ht="26.25">
      <c r="A13" s="282" t="s">
        <v>593</v>
      </c>
      <c r="B13" s="285" t="s">
        <v>1422</v>
      </c>
      <c r="C13" s="286" t="s">
        <v>70</v>
      </c>
      <c r="D13" s="743">
        <v>13.51</v>
      </c>
      <c r="E13" s="293"/>
      <c r="F13" s="295">
        <f>D13*E13</f>
        <v>0</v>
      </c>
      <c r="G13" s="1288">
        <f>0.2908*F13</f>
        <v>0</v>
      </c>
      <c r="H13" s="300">
        <f>0.7092*F13</f>
        <v>0</v>
      </c>
      <c r="I13" s="287"/>
      <c r="J13" s="287"/>
    </row>
    <row r="14" spans="1:10" s="744" customFormat="1">
      <c r="A14" s="282"/>
      <c r="B14" s="285"/>
      <c r="C14" s="286"/>
      <c r="D14" s="284"/>
      <c r="E14" s="734"/>
      <c r="F14" s="295"/>
      <c r="G14" s="1288"/>
      <c r="H14" s="300"/>
      <c r="I14" s="287"/>
      <c r="J14" s="287"/>
    </row>
    <row r="15" spans="1:10" s="744" customFormat="1" ht="26.25">
      <c r="A15" s="282" t="s">
        <v>592</v>
      </c>
      <c r="B15" s="285" t="s">
        <v>590</v>
      </c>
      <c r="C15" s="286" t="s">
        <v>549</v>
      </c>
      <c r="D15" s="284">
        <v>1</v>
      </c>
      <c r="E15" s="293"/>
      <c r="F15" s="295">
        <f>D15*E15</f>
        <v>0</v>
      </c>
      <c r="G15" s="1288">
        <f>0.2908*F15</f>
        <v>0</v>
      </c>
      <c r="H15" s="300">
        <f>0.7092*F15</f>
        <v>0</v>
      </c>
      <c r="I15" s="287"/>
      <c r="J15" s="287"/>
    </row>
    <row r="16" spans="1:10" s="744" customFormat="1">
      <c r="A16" s="282"/>
      <c r="B16" s="285"/>
      <c r="C16" s="286"/>
      <c r="D16" s="287"/>
      <c r="E16" s="295"/>
      <c r="F16" s="295"/>
      <c r="G16" s="1288"/>
      <c r="H16" s="300"/>
      <c r="I16" s="287"/>
      <c r="J16" s="287"/>
    </row>
    <row r="17" spans="1:10" s="744" customFormat="1" ht="39">
      <c r="A17" s="282" t="s">
        <v>591</v>
      </c>
      <c r="B17" s="283" t="s">
        <v>587</v>
      </c>
      <c r="C17" s="289"/>
      <c r="D17" s="289"/>
      <c r="E17" s="289"/>
      <c r="F17" s="295"/>
      <c r="G17" s="1288"/>
      <c r="H17" s="300"/>
      <c r="I17" s="287"/>
      <c r="J17" s="287"/>
    </row>
    <row r="18" spans="1:10" s="744" customFormat="1">
      <c r="A18" s="282"/>
      <c r="B18" s="285" t="s">
        <v>586</v>
      </c>
      <c r="C18" s="290" t="s">
        <v>70</v>
      </c>
      <c r="D18" s="284">
        <v>13.51</v>
      </c>
      <c r="E18" s="293"/>
      <c r="F18" s="295">
        <f>D18*E18</f>
        <v>0</v>
      </c>
      <c r="G18" s="1288">
        <f>0.2908*F18</f>
        <v>0</v>
      </c>
      <c r="H18" s="300">
        <f>0.7092*F18</f>
        <v>0</v>
      </c>
      <c r="I18" s="287"/>
      <c r="J18" s="287"/>
    </row>
    <row r="19" spans="1:10" s="744" customFormat="1">
      <c r="A19" s="282" t="s">
        <v>589</v>
      </c>
      <c r="B19" s="285" t="s">
        <v>585</v>
      </c>
      <c r="C19" s="290" t="s">
        <v>70</v>
      </c>
      <c r="D19" s="284">
        <v>13.51</v>
      </c>
      <c r="E19" s="293"/>
      <c r="F19" s="295">
        <f>D19*E19</f>
        <v>0</v>
      </c>
      <c r="G19" s="1288">
        <f>0.2908*F19</f>
        <v>0</v>
      </c>
      <c r="H19" s="300">
        <f>0.7092*F19</f>
        <v>0</v>
      </c>
      <c r="I19" s="287"/>
      <c r="J19" s="287"/>
    </row>
    <row r="20" spans="1:10" s="744" customFormat="1">
      <c r="A20" s="282"/>
      <c r="B20" s="285"/>
      <c r="C20" s="290"/>
      <c r="D20" s="290"/>
      <c r="E20" s="291"/>
      <c r="F20" s="295"/>
      <c r="G20" s="1288"/>
      <c r="H20" s="300"/>
      <c r="I20" s="287"/>
      <c r="J20" s="287"/>
    </row>
    <row r="21" spans="1:10" s="744" customFormat="1" ht="26.25">
      <c r="A21" s="282" t="s">
        <v>588</v>
      </c>
      <c r="B21" s="285" t="s">
        <v>584</v>
      </c>
      <c r="C21" s="290" t="s">
        <v>70</v>
      </c>
      <c r="D21" s="284">
        <v>13.51</v>
      </c>
      <c r="E21" s="293"/>
      <c r="F21" s="295">
        <f>D21*E21</f>
        <v>0</v>
      </c>
      <c r="G21" s="1288">
        <f>0.2908*F21</f>
        <v>0</v>
      </c>
      <c r="H21" s="300">
        <f>0.7092*F21</f>
        <v>0</v>
      </c>
      <c r="I21" s="287"/>
      <c r="J21" s="287"/>
    </row>
    <row r="22" spans="1:10" s="744" customFormat="1">
      <c r="A22" s="282"/>
      <c r="B22" s="287"/>
      <c r="C22" s="287"/>
      <c r="D22" s="284"/>
      <c r="E22" s="734"/>
      <c r="F22" s="295"/>
      <c r="G22" s="1288"/>
      <c r="H22" s="300"/>
      <c r="I22" s="287"/>
      <c r="J22" s="287"/>
    </row>
    <row r="23" spans="1:10" s="744" customFormat="1" ht="26.25">
      <c r="A23" s="282" t="s">
        <v>1423</v>
      </c>
      <c r="B23" s="292" t="s">
        <v>582</v>
      </c>
      <c r="C23" s="286"/>
      <c r="D23" s="284"/>
      <c r="E23" s="286"/>
      <c r="F23" s="734"/>
      <c r="G23" s="1288"/>
      <c r="H23" s="300"/>
      <c r="I23" s="287"/>
      <c r="J23" s="287"/>
    </row>
    <row r="24" spans="1:10" s="744" customFormat="1" ht="26.25">
      <c r="A24" s="282"/>
      <c r="B24" s="285" t="s">
        <v>581</v>
      </c>
      <c r="C24" s="287"/>
      <c r="D24" s="287"/>
      <c r="E24" s="287"/>
      <c r="F24" s="287"/>
      <c r="G24" s="1288"/>
      <c r="H24" s="300"/>
      <c r="I24" s="287"/>
      <c r="J24" s="287"/>
    </row>
    <row r="25" spans="1:10" s="744" customFormat="1">
      <c r="A25" s="282"/>
      <c r="B25" s="285" t="s">
        <v>580</v>
      </c>
      <c r="C25" s="286" t="s">
        <v>10</v>
      </c>
      <c r="D25" s="294">
        <v>1</v>
      </c>
      <c r="E25" s="288"/>
      <c r="F25" s="295">
        <f>D25*E25</f>
        <v>0</v>
      </c>
      <c r="G25" s="1288">
        <f>F25*1</f>
        <v>0</v>
      </c>
      <c r="H25" s="300">
        <f>F25*0</f>
        <v>0</v>
      </c>
      <c r="I25" s="287"/>
      <c r="J25" s="287"/>
    </row>
    <row r="26" spans="1:10" s="744" customFormat="1">
      <c r="A26" s="282"/>
      <c r="B26" s="285"/>
      <c r="C26" s="286"/>
      <c r="D26" s="284"/>
      <c r="E26" s="734"/>
      <c r="F26" s="1289"/>
      <c r="G26" s="1288"/>
      <c r="H26" s="300"/>
      <c r="I26" s="287"/>
      <c r="J26" s="287"/>
    </row>
    <row r="27" spans="1:10" s="744" customFormat="1">
      <c r="A27" s="303"/>
      <c r="B27" s="287"/>
      <c r="C27" s="287"/>
      <c r="D27" s="287"/>
      <c r="E27" s="734"/>
      <c r="F27" s="287"/>
      <c r="G27" s="1288"/>
      <c r="H27" s="300"/>
      <c r="I27" s="287"/>
      <c r="J27" s="287"/>
    </row>
    <row r="28" spans="1:10" s="744" customFormat="1" ht="15.75" thickBot="1">
      <c r="A28" s="745"/>
      <c r="B28" s="305" t="s">
        <v>579</v>
      </c>
      <c r="C28" s="746"/>
      <c r="D28" s="747"/>
      <c r="E28" s="748"/>
      <c r="F28" s="749">
        <f>SUM(F9:F27)</f>
        <v>0</v>
      </c>
      <c r="G28" s="1290">
        <f>SUM(G9:G27)</f>
        <v>0</v>
      </c>
      <c r="H28" s="749">
        <f t="shared" ref="H28" si="0">SUM(H9:H27)</f>
        <v>0</v>
      </c>
      <c r="I28" s="287"/>
      <c r="J28" s="287"/>
    </row>
    <row r="29" spans="1:10" s="744" customFormat="1" ht="15.75" thickTop="1">
      <c r="A29" s="296"/>
      <c r="B29" s="297"/>
      <c r="C29" s="298"/>
      <c r="D29" s="299"/>
      <c r="E29" s="300"/>
      <c r="F29" s="301"/>
      <c r="G29" s="1288"/>
      <c r="H29" s="300"/>
      <c r="I29" s="287"/>
      <c r="J29" s="287"/>
    </row>
    <row r="30" spans="1:10" s="752" customFormat="1">
      <c r="A30" s="738"/>
      <c r="B30" s="741"/>
      <c r="C30" s="750"/>
      <c r="D30" s="751"/>
      <c r="E30" s="312"/>
      <c r="F30" s="312"/>
      <c r="G30" s="1288"/>
      <c r="H30" s="300"/>
      <c r="I30" s="741"/>
      <c r="J30" s="741"/>
    </row>
    <row r="31" spans="1:10" s="752" customFormat="1" ht="15.75">
      <c r="A31" s="753" t="s">
        <v>578</v>
      </c>
      <c r="B31" s="753" t="s">
        <v>171</v>
      </c>
      <c r="C31" s="311"/>
      <c r="D31" s="740"/>
      <c r="E31" s="312"/>
      <c r="F31" s="312"/>
      <c r="G31" s="1288"/>
      <c r="H31" s="300"/>
      <c r="I31" s="741"/>
      <c r="J31" s="741"/>
    </row>
    <row r="32" spans="1:10" s="752" customFormat="1" ht="15.75">
      <c r="A32" s="753"/>
      <c r="B32" s="753"/>
      <c r="C32" s="311"/>
      <c r="D32" s="740"/>
      <c r="E32" s="312"/>
      <c r="F32" s="312"/>
      <c r="G32" s="1288"/>
      <c r="H32" s="300"/>
      <c r="I32" s="741"/>
      <c r="J32" s="741"/>
    </row>
    <row r="33" spans="1:10" s="752" customFormat="1" ht="15.75">
      <c r="A33" s="753"/>
      <c r="B33" s="753" t="s">
        <v>577</v>
      </c>
      <c r="C33" s="311"/>
      <c r="D33" s="740"/>
      <c r="E33" s="312"/>
      <c r="F33" s="312"/>
      <c r="G33" s="1288"/>
      <c r="H33" s="300"/>
      <c r="I33" s="741"/>
      <c r="J33" s="741"/>
    </row>
    <row r="34" spans="1:10" s="752" customFormat="1" ht="39">
      <c r="A34" s="753"/>
      <c r="B34" s="285" t="s">
        <v>576</v>
      </c>
      <c r="C34" s="311"/>
      <c r="D34" s="740"/>
      <c r="E34" s="312"/>
      <c r="F34" s="312"/>
      <c r="G34" s="1288"/>
      <c r="H34" s="300"/>
      <c r="I34" s="741"/>
      <c r="J34" s="741"/>
    </row>
    <row r="35" spans="1:10" s="752" customFormat="1" ht="15.75">
      <c r="A35" s="753"/>
      <c r="B35" s="285" t="s">
        <v>575</v>
      </c>
      <c r="C35" s="311"/>
      <c r="D35" s="740"/>
      <c r="E35" s="312"/>
      <c r="F35" s="312"/>
      <c r="G35" s="1288"/>
      <c r="H35" s="300"/>
      <c r="I35" s="741"/>
      <c r="J35" s="741"/>
    </row>
    <row r="36" spans="1:10" s="752" customFormat="1" ht="15.75">
      <c r="A36" s="753"/>
      <c r="B36" s="285" t="s">
        <v>574</v>
      </c>
      <c r="C36" s="311"/>
      <c r="D36" s="740"/>
      <c r="E36" s="312"/>
      <c r="F36" s="312"/>
      <c r="G36" s="1288"/>
      <c r="H36" s="300"/>
      <c r="I36" s="741"/>
      <c r="J36" s="741"/>
    </row>
    <row r="37" spans="1:10" s="752" customFormat="1" ht="15.75">
      <c r="A37" s="753"/>
      <c r="B37" s="285"/>
      <c r="C37" s="311"/>
      <c r="D37" s="740"/>
      <c r="E37" s="312"/>
      <c r="F37" s="312"/>
      <c r="G37" s="1288"/>
      <c r="H37" s="300"/>
      <c r="I37" s="741"/>
      <c r="J37" s="741"/>
    </row>
    <row r="38" spans="1:10" s="752" customFormat="1" ht="26.25">
      <c r="A38" s="282" t="s">
        <v>573</v>
      </c>
      <c r="B38" s="285" t="s">
        <v>572</v>
      </c>
      <c r="C38" s="286" t="s">
        <v>11</v>
      </c>
      <c r="D38" s="294">
        <v>5</v>
      </c>
      <c r="E38" s="288"/>
      <c r="F38" s="295">
        <f>D38*E38</f>
        <v>0</v>
      </c>
      <c r="G38" s="1288">
        <f>0.2908*F38</f>
        <v>0</v>
      </c>
      <c r="H38" s="300">
        <f>0.7092*F38</f>
        <v>0</v>
      </c>
      <c r="I38" s="741"/>
      <c r="J38" s="741"/>
    </row>
    <row r="39" spans="1:10" s="752" customFormat="1" ht="15.75">
      <c r="A39" s="753"/>
      <c r="B39" s="753"/>
      <c r="C39" s="311"/>
      <c r="D39" s="740"/>
      <c r="E39" s="312"/>
      <c r="F39" s="312"/>
      <c r="G39" s="1288"/>
      <c r="H39" s="300"/>
      <c r="I39" s="741"/>
      <c r="J39" s="741"/>
    </row>
    <row r="40" spans="1:10" s="752" customFormat="1" ht="39">
      <c r="A40" s="738" t="s">
        <v>571</v>
      </c>
      <c r="B40" s="754" t="s">
        <v>611</v>
      </c>
      <c r="C40" s="311" t="s">
        <v>40</v>
      </c>
      <c r="D40" s="755">
        <f>18.69*0.9</f>
        <v>16.821000000000002</v>
      </c>
      <c r="E40" s="733"/>
      <c r="F40" s="312">
        <f>D40*E40</f>
        <v>0</v>
      </c>
      <c r="G40" s="1288">
        <f>0.2908*F40</f>
        <v>0</v>
      </c>
      <c r="H40" s="300">
        <f>0.7092*F40</f>
        <v>0</v>
      </c>
      <c r="I40" s="741"/>
      <c r="J40" s="741"/>
    </row>
    <row r="41" spans="1:10" s="752" customFormat="1">
      <c r="A41" s="738"/>
      <c r="B41" s="754"/>
      <c r="C41" s="311"/>
      <c r="D41" s="755"/>
      <c r="E41" s="756"/>
      <c r="F41" s="312"/>
      <c r="G41" s="1288"/>
      <c r="H41" s="300"/>
      <c r="I41" s="741"/>
      <c r="J41" s="741"/>
    </row>
    <row r="42" spans="1:10" s="752" customFormat="1" ht="39">
      <c r="A42" s="738" t="s">
        <v>570</v>
      </c>
      <c r="B42" s="754" t="s">
        <v>569</v>
      </c>
      <c r="C42" s="311" t="s">
        <v>40</v>
      </c>
      <c r="D42" s="755">
        <f>18.69*0.1</f>
        <v>1.8690000000000002</v>
      </c>
      <c r="E42" s="733"/>
      <c r="F42" s="312">
        <f>D42*E42</f>
        <v>0</v>
      </c>
      <c r="G42" s="1288">
        <f>0.2908*F42</f>
        <v>0</v>
      </c>
      <c r="H42" s="300">
        <f t="shared" ref="H42" si="1">0.7092*F42</f>
        <v>0</v>
      </c>
      <c r="I42" s="741"/>
      <c r="J42" s="741"/>
    </row>
    <row r="43" spans="1:10" s="752" customFormat="1">
      <c r="A43" s="757"/>
      <c r="B43" s="754"/>
      <c r="C43" s="311"/>
      <c r="D43" s="743"/>
      <c r="E43" s="756"/>
      <c r="F43" s="312"/>
      <c r="G43" s="1288"/>
      <c r="H43" s="300"/>
      <c r="I43" s="741"/>
      <c r="J43" s="741"/>
    </row>
    <row r="44" spans="1:10" s="752" customFormat="1" ht="26.25">
      <c r="A44" s="738" t="s">
        <v>568</v>
      </c>
      <c r="B44" s="759" t="s">
        <v>567</v>
      </c>
      <c r="C44" s="311" t="s">
        <v>566</v>
      </c>
      <c r="D44" s="743">
        <v>13.51</v>
      </c>
      <c r="E44" s="733"/>
      <c r="F44" s="312">
        <f>D44*E44</f>
        <v>0</v>
      </c>
      <c r="G44" s="1288">
        <f>0.2908*F44</f>
        <v>0</v>
      </c>
      <c r="H44" s="300">
        <f t="shared" ref="H44" si="2">0.7092*F44</f>
        <v>0</v>
      </c>
      <c r="I44" s="741"/>
      <c r="J44" s="741"/>
    </row>
    <row r="45" spans="1:10" s="752" customFormat="1">
      <c r="A45" s="738"/>
      <c r="B45" s="759"/>
      <c r="C45" s="311"/>
      <c r="D45" s="743"/>
      <c r="E45" s="756"/>
      <c r="F45" s="312"/>
      <c r="G45" s="1288"/>
      <c r="H45" s="300"/>
      <c r="I45" s="741"/>
      <c r="J45" s="741"/>
    </row>
    <row r="46" spans="1:10" s="752" customFormat="1" ht="51.75">
      <c r="A46" s="738" t="s">
        <v>565</v>
      </c>
      <c r="B46" s="759" t="s">
        <v>1591</v>
      </c>
      <c r="C46" s="311" t="s">
        <v>40</v>
      </c>
      <c r="D46" s="743">
        <v>1.29</v>
      </c>
      <c r="E46" s="733"/>
      <c r="F46" s="312">
        <f>D46*E46</f>
        <v>0</v>
      </c>
      <c r="G46" s="1288">
        <f>0.2908*F46</f>
        <v>0</v>
      </c>
      <c r="H46" s="300">
        <f t="shared" ref="H46" si="3">0.7092*F46</f>
        <v>0</v>
      </c>
      <c r="I46" s="741"/>
      <c r="J46" s="741"/>
    </row>
    <row r="47" spans="1:10" s="752" customFormat="1">
      <c r="A47" s="760"/>
      <c r="B47" s="761"/>
      <c r="C47" s="311"/>
      <c r="D47" s="743"/>
      <c r="E47" s="312"/>
      <c r="F47" s="312"/>
      <c r="G47" s="1288"/>
      <c r="H47" s="300"/>
      <c r="I47" s="741"/>
      <c r="J47" s="741"/>
    </row>
    <row r="48" spans="1:10" s="752" customFormat="1" ht="51.75">
      <c r="A48" s="738" t="s">
        <v>563</v>
      </c>
      <c r="B48" s="762" t="s">
        <v>562</v>
      </c>
      <c r="C48" s="311" t="s">
        <v>40</v>
      </c>
      <c r="D48" s="763">
        <v>4.97</v>
      </c>
      <c r="E48" s="733"/>
      <c r="F48" s="312">
        <f>D48*E48</f>
        <v>0</v>
      </c>
      <c r="G48" s="1288">
        <f>0.2908*F48</f>
        <v>0</v>
      </c>
      <c r="H48" s="300">
        <f t="shared" ref="H48" si="4">0.7092*F48</f>
        <v>0</v>
      </c>
      <c r="I48" s="741"/>
      <c r="J48" s="741"/>
    </row>
    <row r="49" spans="1:10" s="752" customFormat="1">
      <c r="A49" s="757"/>
      <c r="B49" s="762"/>
      <c r="C49" s="311"/>
      <c r="D49" s="763"/>
      <c r="E49" s="756"/>
      <c r="F49" s="312"/>
      <c r="G49" s="1288"/>
      <c r="H49" s="300"/>
      <c r="I49" s="741"/>
      <c r="J49" s="741"/>
    </row>
    <row r="50" spans="1:10" s="752" customFormat="1" ht="26.25">
      <c r="A50" s="738" t="s">
        <v>561</v>
      </c>
      <c r="B50" s="754" t="s">
        <v>560</v>
      </c>
      <c r="C50" s="311" t="s">
        <v>40</v>
      </c>
      <c r="D50" s="743">
        <v>4.8600000000000003</v>
      </c>
      <c r="E50" s="733"/>
      <c r="F50" s="312">
        <f>D50*E50</f>
        <v>0</v>
      </c>
      <c r="G50" s="1288">
        <f>0.2908*F50</f>
        <v>0</v>
      </c>
      <c r="H50" s="300">
        <f t="shared" ref="H50:H56" si="5">0.7092*F50</f>
        <v>0</v>
      </c>
      <c r="I50" s="741"/>
      <c r="J50" s="741"/>
    </row>
    <row r="51" spans="1:10" s="752" customFormat="1">
      <c r="A51" s="738"/>
      <c r="B51" s="754"/>
      <c r="C51" s="311"/>
      <c r="D51" s="743"/>
      <c r="E51" s="756"/>
      <c r="F51" s="312"/>
      <c r="G51" s="1288"/>
      <c r="H51" s="300"/>
      <c r="I51" s="741"/>
      <c r="J51" s="741"/>
    </row>
    <row r="52" spans="1:10" s="752" customFormat="1" ht="39">
      <c r="A52" s="738" t="s">
        <v>559</v>
      </c>
      <c r="B52" s="754" t="s">
        <v>558</v>
      </c>
      <c r="C52" s="311" t="s">
        <v>40</v>
      </c>
      <c r="D52" s="743">
        <v>9.91</v>
      </c>
      <c r="E52" s="733"/>
      <c r="F52" s="312">
        <f>D52*E52</f>
        <v>0</v>
      </c>
      <c r="G52" s="1288">
        <f>0.2908*F52</f>
        <v>0</v>
      </c>
      <c r="H52" s="300">
        <f t="shared" si="5"/>
        <v>0</v>
      </c>
      <c r="I52" s="741"/>
      <c r="J52" s="741"/>
    </row>
    <row r="53" spans="1:10" s="752" customFormat="1">
      <c r="A53" s="738"/>
      <c r="B53" s="754"/>
      <c r="C53" s="311"/>
      <c r="D53" s="743"/>
      <c r="E53" s="756"/>
      <c r="F53" s="312"/>
      <c r="G53" s="1288"/>
      <c r="H53" s="300"/>
      <c r="I53" s="741"/>
      <c r="J53" s="741"/>
    </row>
    <row r="54" spans="1:10" s="752" customFormat="1">
      <c r="A54" s="282" t="s">
        <v>557</v>
      </c>
      <c r="B54" s="292" t="s">
        <v>556</v>
      </c>
      <c r="C54" s="286" t="s">
        <v>116</v>
      </c>
      <c r="D54" s="284">
        <v>2</v>
      </c>
      <c r="E54" s="293"/>
      <c r="F54" s="295">
        <f>D54*E54</f>
        <v>0</v>
      </c>
      <c r="G54" s="1288">
        <f>0.2908*F54</f>
        <v>0</v>
      </c>
      <c r="H54" s="300">
        <f t="shared" si="5"/>
        <v>0</v>
      </c>
      <c r="I54" s="741"/>
      <c r="J54" s="741"/>
    </row>
    <row r="55" spans="1:10" s="752" customFormat="1">
      <c r="A55" s="757"/>
      <c r="B55" s="761"/>
      <c r="C55" s="311"/>
      <c r="D55" s="743"/>
      <c r="E55" s="312"/>
      <c r="F55" s="312"/>
      <c r="G55" s="1288"/>
      <c r="H55" s="300"/>
      <c r="I55" s="741"/>
      <c r="J55" s="741"/>
    </row>
    <row r="56" spans="1:10" s="752" customFormat="1" ht="26.25">
      <c r="A56" s="738" t="s">
        <v>555</v>
      </c>
      <c r="B56" s="759" t="s">
        <v>117</v>
      </c>
      <c r="C56" s="311" t="s">
        <v>11</v>
      </c>
      <c r="D56" s="743">
        <v>13.51</v>
      </c>
      <c r="E56" s="733"/>
      <c r="F56" s="312">
        <f>D56*E56</f>
        <v>0</v>
      </c>
      <c r="G56" s="1288">
        <f>0.2908*F56</f>
        <v>0</v>
      </c>
      <c r="H56" s="300">
        <f t="shared" si="5"/>
        <v>0</v>
      </c>
      <c r="I56" s="311"/>
      <c r="J56" s="741"/>
    </row>
    <row r="57" spans="1:10" s="752" customFormat="1">
      <c r="A57" s="757"/>
      <c r="B57" s="759"/>
      <c r="C57" s="311"/>
      <c r="D57" s="740"/>
      <c r="E57" s="312"/>
      <c r="F57" s="312"/>
      <c r="G57" s="1288"/>
      <c r="H57" s="300"/>
      <c r="I57" s="741"/>
      <c r="J57" s="741"/>
    </row>
    <row r="58" spans="1:10" s="752" customFormat="1" ht="15.75" thickBot="1">
      <c r="A58" s="765"/>
      <c r="B58" s="766" t="s">
        <v>554</v>
      </c>
      <c r="C58" s="163"/>
      <c r="D58" s="162"/>
      <c r="E58" s="161"/>
      <c r="F58" s="749">
        <f>SUM(F38:F56)</f>
        <v>0</v>
      </c>
      <c r="G58" s="1290">
        <f>SUM(G38:G56)</f>
        <v>0</v>
      </c>
      <c r="H58" s="749">
        <f>SUM(H38:H56)</f>
        <v>0</v>
      </c>
      <c r="I58" s="741"/>
      <c r="J58" s="741"/>
    </row>
    <row r="59" spans="1:10" s="752" customFormat="1" ht="15.75" thickTop="1">
      <c r="A59" s="738"/>
      <c r="B59" s="767"/>
      <c r="C59" s="768"/>
      <c r="D59" s="769"/>
      <c r="E59" s="770"/>
      <c r="F59" s="771"/>
      <c r="G59" s="1288"/>
      <c r="H59" s="300"/>
      <c r="I59" s="741"/>
      <c r="J59" s="741"/>
    </row>
    <row r="60" spans="1:10" s="752" customFormat="1">
      <c r="A60" s="772"/>
      <c r="B60" s="292"/>
      <c r="C60" s="768"/>
      <c r="D60" s="769"/>
      <c r="E60" s="770"/>
      <c r="F60" s="771"/>
      <c r="G60" s="1288"/>
      <c r="H60" s="300"/>
      <c r="I60" s="741"/>
      <c r="J60" s="741"/>
    </row>
    <row r="61" spans="1:10" s="752" customFormat="1" ht="15.75">
      <c r="A61" s="753" t="s">
        <v>553</v>
      </c>
      <c r="B61" s="753" t="s">
        <v>100</v>
      </c>
      <c r="C61" s="311"/>
      <c r="D61" s="740"/>
      <c r="E61" s="312"/>
      <c r="F61" s="312"/>
      <c r="G61" s="1288"/>
      <c r="H61" s="300"/>
      <c r="I61" s="741"/>
      <c r="J61" s="741"/>
    </row>
    <row r="62" spans="1:10" s="752" customFormat="1" ht="15.75">
      <c r="A62" s="753"/>
      <c r="B62" s="753"/>
      <c r="C62" s="311"/>
      <c r="D62" s="740"/>
      <c r="E62" s="312"/>
      <c r="F62" s="312"/>
      <c r="G62" s="1288"/>
      <c r="H62" s="300"/>
      <c r="I62" s="741"/>
      <c r="J62" s="741"/>
    </row>
    <row r="63" spans="1:10" s="752" customFormat="1" ht="26.25">
      <c r="A63" s="753"/>
      <c r="B63" s="773" t="s">
        <v>1592</v>
      </c>
      <c r="C63" s="311"/>
      <c r="D63" s="740"/>
      <c r="E63" s="312"/>
      <c r="F63" s="312"/>
      <c r="G63" s="1288"/>
      <c r="H63" s="300"/>
      <c r="I63" s="741"/>
      <c r="J63" s="741"/>
    </row>
    <row r="64" spans="1:10" s="752" customFormat="1">
      <c r="A64" s="738"/>
      <c r="C64" s="311"/>
      <c r="D64" s="743"/>
      <c r="E64" s="312"/>
      <c r="F64" s="312"/>
      <c r="G64" s="1288"/>
      <c r="H64" s="300"/>
      <c r="I64" s="741"/>
      <c r="J64" s="773"/>
    </row>
    <row r="65" spans="1:10" s="752" customFormat="1" ht="64.5">
      <c r="A65" s="738" t="s">
        <v>552</v>
      </c>
      <c r="B65" s="773" t="s">
        <v>1425</v>
      </c>
      <c r="C65" s="311" t="s">
        <v>10</v>
      </c>
      <c r="D65" s="743">
        <v>1</v>
      </c>
      <c r="E65" s="735"/>
      <c r="F65" s="312">
        <f>D65*E65</f>
        <v>0</v>
      </c>
      <c r="G65" s="1288">
        <f>F65*1</f>
        <v>0</v>
      </c>
      <c r="H65" s="300">
        <f>F65*0</f>
        <v>0</v>
      </c>
      <c r="I65" s="774"/>
      <c r="J65" s="774"/>
    </row>
    <row r="66" spans="1:10" s="752" customFormat="1">
      <c r="A66" s="738"/>
      <c r="B66" s="773"/>
      <c r="C66" s="311"/>
      <c r="D66" s="743"/>
      <c r="E66" s="312"/>
      <c r="F66" s="312"/>
      <c r="G66" s="1288"/>
      <c r="H66" s="300"/>
      <c r="I66" s="774"/>
      <c r="J66" s="774"/>
    </row>
    <row r="67" spans="1:10" s="287" customFormat="1" ht="38.25">
      <c r="A67" s="282" t="s">
        <v>551</v>
      </c>
      <c r="B67" s="292" t="s">
        <v>550</v>
      </c>
      <c r="C67" s="286" t="s">
        <v>549</v>
      </c>
      <c r="D67" s="284">
        <v>1</v>
      </c>
      <c r="E67" s="293"/>
      <c r="F67" s="295">
        <f>D67*E67</f>
        <v>0</v>
      </c>
      <c r="G67" s="1288">
        <f>F67*0</f>
        <v>0</v>
      </c>
      <c r="H67" s="300">
        <f>F67*1</f>
        <v>0</v>
      </c>
    </row>
    <row r="68" spans="1:10" s="752" customFormat="1">
      <c r="A68" s="738"/>
      <c r="B68" s="739"/>
      <c r="C68" s="311"/>
      <c r="D68" s="740"/>
      <c r="E68" s="312"/>
      <c r="F68" s="312"/>
      <c r="G68" s="1288"/>
      <c r="H68" s="300"/>
      <c r="I68" s="741"/>
      <c r="J68" s="741"/>
    </row>
    <row r="69" spans="1:10" s="752" customFormat="1" ht="15.75" thickBot="1">
      <c r="A69" s="765"/>
      <c r="B69" s="766" t="s">
        <v>548</v>
      </c>
      <c r="C69" s="163"/>
      <c r="D69" s="162"/>
      <c r="E69" s="161"/>
      <c r="F69" s="749">
        <f>SUM(F65:F67)</f>
        <v>0</v>
      </c>
      <c r="G69" s="1290">
        <f>SUM(G65:G67)</f>
        <v>0</v>
      </c>
      <c r="H69" s="749">
        <f>SUM(H65:H67)</f>
        <v>0</v>
      </c>
      <c r="I69" s="741"/>
      <c r="J69" s="741"/>
    </row>
    <row r="70" spans="1:10" s="752" customFormat="1" ht="15.75" thickTop="1">
      <c r="A70" s="772"/>
      <c r="B70" s="767"/>
      <c r="C70" s="768"/>
      <c r="D70" s="769"/>
      <c r="E70" s="770"/>
      <c r="F70" s="771"/>
      <c r="G70" s="1288"/>
      <c r="H70" s="300"/>
      <c r="I70" s="741"/>
      <c r="J70" s="741"/>
    </row>
    <row r="71" spans="1:10" s="752" customFormat="1" ht="15.75">
      <c r="A71" s="753" t="s">
        <v>547</v>
      </c>
      <c r="B71" s="753" t="s">
        <v>546</v>
      </c>
      <c r="C71" s="311"/>
      <c r="D71" s="740"/>
      <c r="E71" s="312"/>
      <c r="F71" s="312"/>
      <c r="G71" s="1288"/>
      <c r="H71" s="300"/>
      <c r="I71" s="741"/>
      <c r="J71" s="741"/>
    </row>
    <row r="72" spans="1:10" s="752" customFormat="1">
      <c r="A72" s="738"/>
      <c r="B72" s="739"/>
      <c r="C72" s="311"/>
      <c r="D72" s="740"/>
      <c r="E72" s="312"/>
      <c r="F72" s="312"/>
      <c r="G72" s="1288"/>
      <c r="H72" s="300"/>
      <c r="I72" s="741"/>
      <c r="J72" s="741"/>
    </row>
    <row r="73" spans="1:10" s="752" customFormat="1" ht="39">
      <c r="A73" s="738" t="s">
        <v>545</v>
      </c>
      <c r="B73" s="292" t="s">
        <v>544</v>
      </c>
      <c r="C73" s="286" t="s">
        <v>543</v>
      </c>
      <c r="D73" s="743">
        <v>13.51</v>
      </c>
      <c r="E73" s="736"/>
      <c r="F73" s="312">
        <f>D73*E73</f>
        <v>0</v>
      </c>
      <c r="G73" s="1288">
        <f>0.2908*F73</f>
        <v>0</v>
      </c>
      <c r="H73" s="300">
        <f>0.7092*F73</f>
        <v>0</v>
      </c>
      <c r="I73" s="741"/>
      <c r="J73" s="741"/>
    </row>
    <row r="74" spans="1:10" s="752" customFormat="1">
      <c r="A74" s="738"/>
      <c r="B74" s="759"/>
      <c r="C74" s="311"/>
      <c r="D74" s="743"/>
      <c r="E74" s="756"/>
      <c r="F74" s="312"/>
      <c r="G74" s="1288"/>
      <c r="H74" s="300"/>
      <c r="I74" s="741"/>
      <c r="J74" s="741"/>
    </row>
    <row r="75" spans="1:10" s="752" customFormat="1">
      <c r="A75" s="282" t="s">
        <v>542</v>
      </c>
      <c r="B75" s="292" t="s">
        <v>541</v>
      </c>
      <c r="C75" s="286" t="s">
        <v>70</v>
      </c>
      <c r="D75" s="743">
        <v>13.51</v>
      </c>
      <c r="E75" s="293"/>
      <c r="F75" s="295">
        <f>D75*E75</f>
        <v>0</v>
      </c>
      <c r="G75" s="1288">
        <f>0.2908*F75</f>
        <v>0</v>
      </c>
      <c r="H75" s="300">
        <f>0.7092*F75</f>
        <v>0</v>
      </c>
      <c r="I75" s="741"/>
      <c r="J75" s="741"/>
    </row>
    <row r="76" spans="1:10" s="752" customFormat="1">
      <c r="A76" s="296"/>
      <c r="B76" s="297"/>
      <c r="C76" s="298"/>
      <c r="D76" s="299"/>
      <c r="E76" s="300"/>
      <c r="F76" s="301"/>
      <c r="G76" s="1288"/>
      <c r="H76" s="300"/>
      <c r="I76" s="741"/>
      <c r="J76" s="741"/>
    </row>
    <row r="77" spans="1:10" s="752" customFormat="1" ht="26.25">
      <c r="A77" s="282" t="s">
        <v>540</v>
      </c>
      <c r="B77" s="292" t="s">
        <v>539</v>
      </c>
      <c r="C77" s="286" t="s">
        <v>70</v>
      </c>
      <c r="D77" s="743">
        <v>13.51</v>
      </c>
      <c r="E77" s="293"/>
      <c r="F77" s="295">
        <f>E77*D77</f>
        <v>0</v>
      </c>
      <c r="G77" s="1288">
        <f>0.2908*F77</f>
        <v>0</v>
      </c>
      <c r="H77" s="300">
        <f>0.7092*F77</f>
        <v>0</v>
      </c>
      <c r="I77" s="741"/>
      <c r="J77" s="741"/>
    </row>
    <row r="78" spans="1:10" s="752" customFormat="1">
      <c r="A78" s="282"/>
      <c r="B78" s="292"/>
      <c r="C78" s="286"/>
      <c r="D78" s="284"/>
      <c r="E78" s="734"/>
      <c r="F78" s="295"/>
      <c r="G78" s="1288"/>
      <c r="H78" s="300"/>
      <c r="I78" s="741"/>
      <c r="J78" s="741"/>
    </row>
    <row r="79" spans="1:10" s="752" customFormat="1">
      <c r="A79" s="282" t="s">
        <v>538</v>
      </c>
      <c r="B79" s="292" t="s">
        <v>537</v>
      </c>
      <c r="C79" s="286" t="s">
        <v>70</v>
      </c>
      <c r="D79" s="743">
        <v>13.51</v>
      </c>
      <c r="E79" s="293"/>
      <c r="F79" s="295">
        <f>D79*E79</f>
        <v>0</v>
      </c>
      <c r="G79" s="1288">
        <f>0.2908*F79</f>
        <v>0</v>
      </c>
      <c r="H79" s="300">
        <f>0.7092*F79</f>
        <v>0</v>
      </c>
      <c r="I79" s="741"/>
      <c r="J79" s="741"/>
    </row>
    <row r="80" spans="1:10" s="752" customFormat="1">
      <c r="A80" s="738"/>
      <c r="B80" s="739"/>
      <c r="C80" s="311"/>
      <c r="D80" s="740"/>
      <c r="E80" s="312"/>
      <c r="F80" s="312"/>
      <c r="G80" s="1288"/>
      <c r="H80" s="300"/>
      <c r="I80" s="741"/>
      <c r="J80" s="741"/>
    </row>
    <row r="81" spans="1:10" s="752" customFormat="1" ht="15.75" thickBot="1">
      <c r="A81" s="775"/>
      <c r="B81" s="766" t="s">
        <v>536</v>
      </c>
      <c r="C81" s="776"/>
      <c r="D81" s="777"/>
      <c r="E81" s="778"/>
      <c r="F81" s="749">
        <f>SUM(F73:F79)</f>
        <v>0</v>
      </c>
      <c r="G81" s="1290">
        <f>SUM(G73:G79)</f>
        <v>0</v>
      </c>
      <c r="H81" s="749">
        <f>SUM(H73:H79)</f>
        <v>0</v>
      </c>
      <c r="I81" s="741"/>
      <c r="J81" s="741"/>
    </row>
    <row r="82" spans="1:10" s="752" customFormat="1" ht="15.75" thickTop="1">
      <c r="A82" s="779"/>
      <c r="B82" s="767"/>
      <c r="C82" s="780"/>
      <c r="D82" s="781"/>
      <c r="E82" s="771"/>
      <c r="F82" s="771"/>
      <c r="G82" s="1288"/>
      <c r="H82" s="300"/>
      <c r="I82" s="741"/>
      <c r="J82" s="741"/>
    </row>
    <row r="83" spans="1:10" s="752" customFormat="1">
      <c r="A83" s="779"/>
      <c r="B83" s="767"/>
      <c r="C83" s="780"/>
      <c r="D83" s="781"/>
      <c r="E83" s="771"/>
      <c r="F83" s="771"/>
      <c r="G83" s="1288"/>
      <c r="H83" s="300"/>
      <c r="I83" s="741"/>
      <c r="J83" s="741"/>
    </row>
    <row r="84" spans="1:10" s="752" customFormat="1" ht="15.75">
      <c r="A84" s="302" t="s">
        <v>535</v>
      </c>
      <c r="B84" s="302" t="s">
        <v>534</v>
      </c>
      <c r="C84" s="286"/>
      <c r="D84" s="294"/>
      <c r="E84" s="295"/>
      <c r="F84" s="782"/>
      <c r="G84" s="1288"/>
      <c r="H84" s="300"/>
      <c r="I84" s="782"/>
    </row>
    <row r="85" spans="1:10" s="752" customFormat="1">
      <c r="A85" s="282"/>
      <c r="B85" s="303"/>
      <c r="C85" s="286"/>
      <c r="D85" s="294"/>
      <c r="E85" s="295"/>
      <c r="F85" s="782"/>
      <c r="G85" s="1288"/>
      <c r="H85" s="300"/>
      <c r="I85" s="782"/>
    </row>
    <row r="86" spans="1:10" s="752" customFormat="1">
      <c r="A86" s="282" t="s">
        <v>533</v>
      </c>
      <c r="B86" s="292" t="s">
        <v>532</v>
      </c>
      <c r="C86" s="286"/>
      <c r="D86" s="284"/>
      <c r="E86" s="295"/>
      <c r="F86" s="782"/>
      <c r="G86" s="1288"/>
      <c r="H86" s="300"/>
      <c r="I86" s="782"/>
    </row>
    <row r="87" spans="1:10" s="752" customFormat="1">
      <c r="A87" s="296"/>
      <c r="B87" s="297"/>
      <c r="C87" s="298"/>
      <c r="D87" s="299"/>
      <c r="E87" s="301"/>
      <c r="G87" s="1288"/>
      <c r="H87" s="300"/>
    </row>
    <row r="88" spans="1:10" s="752" customFormat="1">
      <c r="A88" s="282"/>
      <c r="B88" s="292" t="s">
        <v>531</v>
      </c>
      <c r="C88" s="286" t="s">
        <v>10</v>
      </c>
      <c r="D88" s="284">
        <v>0</v>
      </c>
      <c r="E88" s="295"/>
      <c r="F88" s="295">
        <f t="shared" ref="F88:F95" si="6">D88*E88</f>
        <v>0</v>
      </c>
      <c r="G88" s="1288">
        <f>0.2908*F88</f>
        <v>0</v>
      </c>
      <c r="H88" s="300">
        <f t="shared" ref="H88:H95" si="7">0.7092*F88</f>
        <v>0</v>
      </c>
    </row>
    <row r="89" spans="1:10" s="752" customFormat="1">
      <c r="A89" s="282"/>
      <c r="B89" s="292" t="s">
        <v>530</v>
      </c>
      <c r="C89" s="286" t="s">
        <v>10</v>
      </c>
      <c r="D89" s="284">
        <v>0</v>
      </c>
      <c r="E89" s="295"/>
      <c r="F89" s="295">
        <f t="shared" si="6"/>
        <v>0</v>
      </c>
      <c r="G89" s="1288">
        <f>0.2908*F89</f>
        <v>0</v>
      </c>
      <c r="H89" s="300">
        <f t="shared" si="7"/>
        <v>0</v>
      </c>
    </row>
    <row r="90" spans="1:10" s="752" customFormat="1">
      <c r="A90" s="282"/>
      <c r="B90" s="292" t="s">
        <v>529</v>
      </c>
      <c r="C90" s="286" t="s">
        <v>10</v>
      </c>
      <c r="D90" s="284">
        <v>0</v>
      </c>
      <c r="E90" s="295"/>
      <c r="F90" s="295">
        <f t="shared" si="6"/>
        <v>0</v>
      </c>
      <c r="G90" s="1288">
        <f>0.2908*F90</f>
        <v>0</v>
      </c>
      <c r="H90" s="300">
        <f t="shared" si="7"/>
        <v>0</v>
      </c>
    </row>
    <row r="91" spans="1:10" s="752" customFormat="1">
      <c r="A91" s="282"/>
      <c r="B91" s="292" t="s">
        <v>528</v>
      </c>
      <c r="C91" s="286" t="s">
        <v>10</v>
      </c>
      <c r="D91" s="284">
        <v>1</v>
      </c>
      <c r="E91" s="288"/>
      <c r="F91" s="295">
        <f t="shared" si="6"/>
        <v>0</v>
      </c>
      <c r="G91" s="1288">
        <f>0*E91</f>
        <v>0</v>
      </c>
      <c r="H91" s="300">
        <f>1*F91</f>
        <v>0</v>
      </c>
    </row>
    <row r="92" spans="1:10" s="752" customFormat="1">
      <c r="A92" s="282"/>
      <c r="B92" s="292" t="s">
        <v>527</v>
      </c>
      <c r="C92" s="286" t="s">
        <v>10</v>
      </c>
      <c r="D92" s="284">
        <v>0</v>
      </c>
      <c r="E92" s="295"/>
      <c r="F92" s="295">
        <f t="shared" si="6"/>
        <v>0</v>
      </c>
      <c r="G92" s="1288">
        <f>0.2908*F92</f>
        <v>0</v>
      </c>
      <c r="H92" s="300">
        <f t="shared" si="7"/>
        <v>0</v>
      </c>
    </row>
    <row r="93" spans="1:10" s="752" customFormat="1">
      <c r="A93" s="282"/>
      <c r="B93" s="292" t="s">
        <v>526</v>
      </c>
      <c r="C93" s="286" t="s">
        <v>10</v>
      </c>
      <c r="D93" s="284">
        <v>0</v>
      </c>
      <c r="E93" s="295"/>
      <c r="F93" s="295">
        <f t="shared" si="6"/>
        <v>0</v>
      </c>
      <c r="G93" s="1288">
        <f>0.2908*F93</f>
        <v>0</v>
      </c>
      <c r="H93" s="300">
        <f t="shared" si="7"/>
        <v>0</v>
      </c>
    </row>
    <row r="94" spans="1:10" s="752" customFormat="1">
      <c r="A94" s="282"/>
      <c r="B94" s="292" t="s">
        <v>525</v>
      </c>
      <c r="C94" s="286" t="s">
        <v>10</v>
      </c>
      <c r="D94" s="284">
        <v>0</v>
      </c>
      <c r="E94" s="295"/>
      <c r="F94" s="295">
        <f t="shared" si="6"/>
        <v>0</v>
      </c>
      <c r="G94" s="1288">
        <f>0.2908*F94</f>
        <v>0</v>
      </c>
      <c r="H94" s="300">
        <f t="shared" si="7"/>
        <v>0</v>
      </c>
    </row>
    <row r="95" spans="1:10" s="752" customFormat="1">
      <c r="A95" s="282"/>
      <c r="B95" s="292" t="s">
        <v>524</v>
      </c>
      <c r="C95" s="286" t="s">
        <v>10</v>
      </c>
      <c r="D95" s="284">
        <v>0</v>
      </c>
      <c r="E95" s="295"/>
      <c r="F95" s="295">
        <f t="shared" si="6"/>
        <v>0</v>
      </c>
      <c r="G95" s="1288">
        <f>0.2908*F95</f>
        <v>0</v>
      </c>
      <c r="H95" s="300">
        <f t="shared" si="7"/>
        <v>0</v>
      </c>
    </row>
    <row r="96" spans="1:10" s="752" customFormat="1">
      <c r="A96" s="282"/>
      <c r="B96" s="303"/>
      <c r="C96" s="286"/>
      <c r="D96" s="294"/>
      <c r="E96" s="295"/>
      <c r="G96" s="1288"/>
      <c r="H96" s="300"/>
    </row>
    <row r="97" spans="1:10" s="752" customFormat="1" ht="15.75" thickBot="1">
      <c r="A97" s="304"/>
      <c r="B97" s="305" t="s">
        <v>523</v>
      </c>
      <c r="C97" s="306"/>
      <c r="D97" s="307"/>
      <c r="E97" s="306"/>
      <c r="F97" s="749">
        <f>SUM(F88:F95)</f>
        <v>0</v>
      </c>
      <c r="G97" s="1290">
        <f>SUM(G88:G95)</f>
        <v>0</v>
      </c>
      <c r="H97" s="749">
        <f>SUM(H88:H95)</f>
        <v>0</v>
      </c>
    </row>
    <row r="98" spans="1:10" s="752" customFormat="1" ht="15.75" thickTop="1">
      <c r="G98" s="1288"/>
      <c r="H98" s="300"/>
    </row>
    <row r="99" spans="1:10" s="287" customFormat="1" ht="12.75">
      <c r="A99" s="308"/>
      <c r="B99" s="309"/>
      <c r="C99" s="309"/>
      <c r="D99" s="298"/>
      <c r="E99" s="300"/>
      <c r="G99" s="1288"/>
      <c r="H99" s="300"/>
    </row>
    <row r="100" spans="1:10" s="752" customFormat="1" ht="15.75">
      <c r="A100" s="302" t="s">
        <v>522</v>
      </c>
      <c r="B100" s="302" t="s">
        <v>521</v>
      </c>
      <c r="C100" s="286"/>
      <c r="D100" s="294"/>
      <c r="E100" s="295"/>
      <c r="F100" s="782"/>
      <c r="G100" s="1288"/>
      <c r="H100" s="300"/>
      <c r="I100" s="782"/>
    </row>
    <row r="101" spans="1:10" s="287" customFormat="1" ht="15.75">
      <c r="A101" s="310"/>
      <c r="B101" s="310"/>
      <c r="C101" s="310"/>
      <c r="D101" s="311"/>
      <c r="E101" s="312"/>
      <c r="G101" s="1288"/>
      <c r="H101" s="300"/>
    </row>
    <row r="102" spans="1:10" s="313" customFormat="1" ht="12.75">
      <c r="A102" s="767"/>
      <c r="B102" s="1291"/>
      <c r="C102" s="1291"/>
      <c r="D102" s="768"/>
      <c r="E102" s="1292"/>
      <c r="G102" s="1288"/>
      <c r="H102" s="300"/>
    </row>
    <row r="103" spans="1:10" s="313" customFormat="1" ht="12.75">
      <c r="A103" s="767" t="s">
        <v>239</v>
      </c>
      <c r="B103" s="1291" t="s">
        <v>7</v>
      </c>
      <c r="C103" s="1291"/>
      <c r="D103" s="768"/>
      <c r="E103" s="1292"/>
      <c r="F103" s="1293"/>
      <c r="G103" s="1288"/>
      <c r="H103" s="300"/>
      <c r="I103" s="1293"/>
      <c r="J103" s="1293"/>
    </row>
    <row r="104" spans="1:10" s="313" customFormat="1" ht="12.75">
      <c r="A104" s="767"/>
      <c r="B104" s="1291"/>
      <c r="C104" s="1291"/>
      <c r="D104" s="768"/>
      <c r="E104" s="1292"/>
      <c r="F104" s="1293"/>
      <c r="G104" s="1288"/>
      <c r="H104" s="300"/>
      <c r="I104" s="1293"/>
      <c r="J104" s="1293"/>
    </row>
    <row r="105" spans="1:10" s="313" customFormat="1" ht="12.75">
      <c r="A105" s="314" t="s">
        <v>520</v>
      </c>
      <c r="B105" s="636" t="s">
        <v>519</v>
      </c>
      <c r="C105" s="768" t="s">
        <v>496</v>
      </c>
      <c r="D105" s="1294">
        <f>10*2</f>
        <v>20</v>
      </c>
      <c r="E105" s="288"/>
      <c r="F105" s="1295">
        <f>D105*E105</f>
        <v>0</v>
      </c>
      <c r="G105" s="1288">
        <f>0*E105</f>
        <v>0</v>
      </c>
      <c r="H105" s="300">
        <f>1*F105</f>
        <v>0</v>
      </c>
      <c r="J105" s="1293"/>
    </row>
    <row r="106" spans="1:10" s="313" customFormat="1" ht="12.75">
      <c r="A106" s="767"/>
      <c r="B106" s="1291"/>
      <c r="C106" s="768"/>
      <c r="D106" s="1294"/>
      <c r="E106" s="295"/>
      <c r="F106" s="1295"/>
      <c r="G106" s="1288"/>
      <c r="H106" s="300"/>
      <c r="J106" s="1293"/>
    </row>
    <row r="107" spans="1:10" s="313" customFormat="1" ht="14.25">
      <c r="A107" s="314" t="s">
        <v>518</v>
      </c>
      <c r="B107" s="636" t="s">
        <v>517</v>
      </c>
      <c r="C107" s="768" t="s">
        <v>501</v>
      </c>
      <c r="D107" s="1294">
        <v>10</v>
      </c>
      <c r="E107" s="288"/>
      <c r="F107" s="1295">
        <f>D107*E107</f>
        <v>0</v>
      </c>
      <c r="G107" s="1288">
        <f>0*E107</f>
        <v>0</v>
      </c>
      <c r="H107" s="300">
        <f t="shared" ref="H107:H127" si="8">1*F107</f>
        <v>0</v>
      </c>
      <c r="J107" s="1293"/>
    </row>
    <row r="108" spans="1:10" s="313" customFormat="1" ht="12.75">
      <c r="A108" s="314"/>
      <c r="B108" s="636"/>
      <c r="C108" s="768"/>
      <c r="D108" s="1294"/>
      <c r="E108" s="295"/>
      <c r="F108" s="1295"/>
      <c r="G108" s="1288"/>
      <c r="H108" s="300"/>
      <c r="J108" s="1293"/>
    </row>
    <row r="109" spans="1:10" s="313" customFormat="1" ht="25.5">
      <c r="A109" s="314" t="s">
        <v>516</v>
      </c>
      <c r="B109" s="636" t="s">
        <v>515</v>
      </c>
      <c r="C109" s="768" t="s">
        <v>506</v>
      </c>
      <c r="D109" s="1294">
        <v>9.91</v>
      </c>
      <c r="E109" s="288"/>
      <c r="F109" s="1295">
        <f>D109*E109</f>
        <v>0</v>
      </c>
      <c r="G109" s="1288">
        <f>0*E109</f>
        <v>0</v>
      </c>
      <c r="H109" s="300">
        <f t="shared" si="8"/>
        <v>0</v>
      </c>
      <c r="J109" s="1293"/>
    </row>
    <row r="110" spans="1:10" s="313" customFormat="1" ht="12.75">
      <c r="A110" s="314"/>
      <c r="B110" s="636"/>
      <c r="C110" s="768"/>
      <c r="D110" s="1296"/>
      <c r="E110" s="295"/>
      <c r="F110" s="1295"/>
      <c r="G110" s="1288"/>
      <c r="H110" s="300"/>
      <c r="J110" s="1293"/>
    </row>
    <row r="111" spans="1:10" s="313" customFormat="1" ht="25.5">
      <c r="A111" s="314" t="s">
        <v>514</v>
      </c>
      <c r="B111" s="636" t="s">
        <v>513</v>
      </c>
      <c r="C111" s="768" t="s">
        <v>496</v>
      </c>
      <c r="D111" s="1296">
        <v>2</v>
      </c>
      <c r="E111" s="288"/>
      <c r="F111" s="1295">
        <f>D111*E111</f>
        <v>0</v>
      </c>
      <c r="G111" s="1288">
        <f>0*E111</f>
        <v>0</v>
      </c>
      <c r="H111" s="300">
        <f t="shared" si="8"/>
        <v>0</v>
      </c>
      <c r="J111" s="1293"/>
    </row>
    <row r="112" spans="1:10" s="313" customFormat="1" ht="12.75">
      <c r="A112" s="314"/>
      <c r="B112" s="636"/>
      <c r="C112" s="768"/>
      <c r="D112" s="1296"/>
      <c r="E112" s="295"/>
      <c r="F112" s="1295"/>
      <c r="G112" s="1288"/>
      <c r="H112" s="300"/>
      <c r="J112" s="1293"/>
    </row>
    <row r="113" spans="1:8" s="313" customFormat="1" ht="12.75">
      <c r="A113" s="314" t="s">
        <v>512</v>
      </c>
      <c r="B113" s="636" t="s">
        <v>511</v>
      </c>
      <c r="C113" s="768" t="s">
        <v>496</v>
      </c>
      <c r="D113" s="1296">
        <v>1</v>
      </c>
      <c r="E113" s="288"/>
      <c r="F113" s="1295">
        <f>D113*E113</f>
        <v>0</v>
      </c>
      <c r="G113" s="1288">
        <f>0*E113</f>
        <v>0</v>
      </c>
      <c r="H113" s="300">
        <f t="shared" si="8"/>
        <v>0</v>
      </c>
    </row>
    <row r="114" spans="1:8" s="313" customFormat="1" ht="12.75">
      <c r="A114" s="314"/>
      <c r="B114" s="636"/>
      <c r="C114" s="768"/>
      <c r="D114" s="1296"/>
      <c r="E114" s="295"/>
      <c r="F114" s="1295"/>
      <c r="G114" s="1288"/>
      <c r="H114" s="300"/>
    </row>
    <row r="115" spans="1:8" s="313" customFormat="1" ht="12.75">
      <c r="A115" s="1297" t="s">
        <v>241</v>
      </c>
      <c r="B115" s="1298" t="s">
        <v>480</v>
      </c>
      <c r="C115" s="768"/>
      <c r="D115" s="1296"/>
      <c r="E115" s="295"/>
      <c r="F115" s="1295"/>
      <c r="G115" s="1288"/>
      <c r="H115" s="300"/>
    </row>
    <row r="116" spans="1:8" s="313" customFormat="1" ht="12.75">
      <c r="A116" s="1297"/>
      <c r="B116" s="1298"/>
      <c r="C116" s="768"/>
      <c r="D116" s="1296"/>
      <c r="E116" s="295"/>
      <c r="F116" s="1295"/>
      <c r="G116" s="1288"/>
      <c r="H116" s="300"/>
    </row>
    <row r="117" spans="1:8" s="313" customFormat="1" ht="25.5">
      <c r="A117" s="314" t="s">
        <v>510</v>
      </c>
      <c r="B117" s="636" t="s">
        <v>509</v>
      </c>
      <c r="C117" s="768" t="s">
        <v>506</v>
      </c>
      <c r="D117" s="1296">
        <v>6</v>
      </c>
      <c r="E117" s="288"/>
      <c r="F117" s="1295">
        <f>D117*E117</f>
        <v>0</v>
      </c>
      <c r="G117" s="1288">
        <f>0*E117</f>
        <v>0</v>
      </c>
      <c r="H117" s="300">
        <f t="shared" si="8"/>
        <v>0</v>
      </c>
    </row>
    <row r="118" spans="1:8" s="313" customFormat="1" ht="12.75">
      <c r="A118" s="314"/>
      <c r="B118" s="636"/>
      <c r="C118" s="768"/>
      <c r="D118" s="1296"/>
      <c r="E118" s="295"/>
      <c r="F118" s="1295"/>
      <c r="G118" s="1288"/>
      <c r="H118" s="300"/>
    </row>
    <row r="119" spans="1:8" s="313" customFormat="1" ht="25.5">
      <c r="A119" s="314" t="s">
        <v>508</v>
      </c>
      <c r="B119" s="636" t="s">
        <v>507</v>
      </c>
      <c r="C119" s="768" t="s">
        <v>506</v>
      </c>
      <c r="D119" s="1296">
        <v>3</v>
      </c>
      <c r="E119" s="288"/>
      <c r="F119" s="1295">
        <f>D119*E119</f>
        <v>0</v>
      </c>
      <c r="G119" s="1288">
        <f>0*E119</f>
        <v>0</v>
      </c>
      <c r="H119" s="300">
        <f t="shared" si="8"/>
        <v>0</v>
      </c>
    </row>
    <row r="120" spans="1:8" s="313" customFormat="1" ht="12.75">
      <c r="A120" s="314"/>
      <c r="B120" s="636"/>
      <c r="C120" s="768"/>
      <c r="D120" s="1296"/>
      <c r="E120" s="295"/>
      <c r="F120" s="1295"/>
      <c r="G120" s="1288"/>
      <c r="H120" s="300"/>
    </row>
    <row r="121" spans="1:8" s="313" customFormat="1" ht="25.5">
      <c r="A121" s="314" t="s">
        <v>505</v>
      </c>
      <c r="B121" s="636" t="s">
        <v>504</v>
      </c>
      <c r="C121" s="768" t="s">
        <v>501</v>
      </c>
      <c r="D121" s="1296">
        <v>10</v>
      </c>
      <c r="E121" s="288"/>
      <c r="F121" s="1295">
        <f>D121*E121</f>
        <v>0</v>
      </c>
      <c r="G121" s="1288">
        <f>0*E121</f>
        <v>0</v>
      </c>
      <c r="H121" s="300">
        <f t="shared" si="8"/>
        <v>0</v>
      </c>
    </row>
    <row r="122" spans="1:8" s="313" customFormat="1" ht="12.75">
      <c r="A122" s="314"/>
      <c r="B122" s="636"/>
      <c r="C122" s="768"/>
      <c r="D122" s="1296"/>
      <c r="E122" s="295"/>
      <c r="F122" s="1295"/>
      <c r="G122" s="1288"/>
      <c r="H122" s="300"/>
    </row>
    <row r="123" spans="1:8" s="313" customFormat="1" ht="25.5">
      <c r="A123" s="314" t="s">
        <v>503</v>
      </c>
      <c r="B123" s="636" t="s">
        <v>502</v>
      </c>
      <c r="C123" s="768" t="s">
        <v>501</v>
      </c>
      <c r="D123" s="1296">
        <v>10</v>
      </c>
      <c r="E123" s="288"/>
      <c r="F123" s="1295">
        <f>D123*E123</f>
        <v>0</v>
      </c>
      <c r="G123" s="1288">
        <f>0*E123</f>
        <v>0</v>
      </c>
      <c r="H123" s="300">
        <f t="shared" si="8"/>
        <v>0</v>
      </c>
    </row>
    <row r="124" spans="1:8" s="313" customFormat="1" ht="12.75">
      <c r="A124" s="314"/>
      <c r="B124" s="636"/>
      <c r="C124" s="768"/>
      <c r="D124" s="1296"/>
      <c r="E124" s="295"/>
      <c r="F124" s="1295"/>
      <c r="G124" s="1288"/>
      <c r="H124" s="300"/>
    </row>
    <row r="125" spans="1:8" s="313" customFormat="1" ht="25.5">
      <c r="A125" s="314" t="s">
        <v>500</v>
      </c>
      <c r="B125" s="636" t="s">
        <v>499</v>
      </c>
      <c r="C125" s="768" t="s">
        <v>496</v>
      </c>
      <c r="D125" s="1296">
        <v>2</v>
      </c>
      <c r="E125" s="288"/>
      <c r="F125" s="1295">
        <f>D125*E125</f>
        <v>0</v>
      </c>
      <c r="G125" s="1288">
        <f>0*E125</f>
        <v>0</v>
      </c>
      <c r="H125" s="300">
        <f t="shared" si="8"/>
        <v>0</v>
      </c>
    </row>
    <row r="126" spans="1:8" s="313" customFormat="1" ht="12.75">
      <c r="A126" s="314"/>
      <c r="B126" s="636"/>
      <c r="C126" s="768"/>
      <c r="D126" s="1296"/>
      <c r="E126" s="295"/>
      <c r="F126" s="1295"/>
      <c r="G126" s="1288"/>
      <c r="H126" s="300"/>
    </row>
    <row r="127" spans="1:8" s="287" customFormat="1" ht="12.75">
      <c r="A127" s="314" t="s">
        <v>498</v>
      </c>
      <c r="B127" s="636" t="s">
        <v>497</v>
      </c>
      <c r="C127" s="768" t="s">
        <v>496</v>
      </c>
      <c r="D127" s="1296">
        <v>22</v>
      </c>
      <c r="E127" s="288"/>
      <c r="F127" s="1295">
        <f>D127*E127</f>
        <v>0</v>
      </c>
      <c r="G127" s="1288">
        <f>0*E127</f>
        <v>0</v>
      </c>
      <c r="H127" s="300">
        <f t="shared" si="8"/>
        <v>0</v>
      </c>
    </row>
    <row r="128" spans="1:8" s="287" customFormat="1" ht="12.75">
      <c r="A128" s="314"/>
      <c r="B128" s="636"/>
      <c r="C128" s="768"/>
      <c r="D128" s="1296"/>
      <c r="E128" s="1296"/>
      <c r="F128" s="1299"/>
      <c r="G128" s="1288"/>
      <c r="H128" s="300"/>
    </row>
    <row r="129" spans="1:8" s="287" customFormat="1" ht="13.5" thickBot="1">
      <c r="A129" s="315"/>
      <c r="B129" s="164" t="s">
        <v>495</v>
      </c>
      <c r="C129" s="163"/>
      <c r="D129" s="162"/>
      <c r="E129" s="161"/>
      <c r="F129" s="1300">
        <f>SUM(F104:F127)</f>
        <v>0</v>
      </c>
      <c r="G129" s="1301">
        <f>SUM(G104:G127)</f>
        <v>0</v>
      </c>
      <c r="H129" s="1300">
        <f>SUM(H104:H127)</f>
        <v>0</v>
      </c>
    </row>
    <row r="130" spans="1:8" ht="15.75" thickTop="1">
      <c r="G130" s="1288"/>
      <c r="H130" s="300"/>
    </row>
    <row r="131" spans="1:8">
      <c r="F131" s="783">
        <f>+F129+F97+F81+F69+F58+F28</f>
        <v>0</v>
      </c>
      <c r="G131" s="1302">
        <f t="shared" ref="G131:H131" si="9">+G129+G97+G81+G69+G58+G28</f>
        <v>0</v>
      </c>
      <c r="H131" s="783">
        <f t="shared" si="9"/>
        <v>0</v>
      </c>
    </row>
    <row r="132" spans="1:8">
      <c r="G132" s="295"/>
      <c r="H132" s="295"/>
    </row>
    <row r="133" spans="1:8">
      <c r="G133" s="295"/>
      <c r="H133" s="295"/>
    </row>
    <row r="134" spans="1:8">
      <c r="G134" s="295"/>
      <c r="H134" s="295"/>
    </row>
    <row r="135" spans="1:8">
      <c r="G135" s="295"/>
    </row>
    <row r="136" spans="1:8">
      <c r="G136" s="295"/>
    </row>
    <row r="137" spans="1:8">
      <c r="G137" s="295"/>
    </row>
    <row r="138" spans="1:8">
      <c r="G138" s="295"/>
    </row>
    <row r="139" spans="1:8">
      <c r="G139" s="295"/>
    </row>
    <row r="140" spans="1:8">
      <c r="G140" s="295"/>
    </row>
    <row r="141" spans="1:8">
      <c r="G141" s="295"/>
    </row>
    <row r="142" spans="1:8">
      <c r="G142" s="295"/>
    </row>
    <row r="143" spans="1:8">
      <c r="G143" s="295"/>
    </row>
    <row r="144" spans="1:8">
      <c r="G144" s="295"/>
    </row>
    <row r="145" spans="7:7">
      <c r="G145" s="295"/>
    </row>
    <row r="146" spans="7:7">
      <c r="G146" s="295"/>
    </row>
    <row r="147" spans="7:7">
      <c r="G147" s="295"/>
    </row>
  </sheetData>
  <sheetProtection algorithmName="SHA-512" hashValue="zQqWLkuZVnMXZr1xf4Jrz1AQY1fVxn0LoIl6N83FcpZUSZpHrjfF1CAkwdmt46F6rfNhEoXRhGjm+DBF+L0hUA==" saltValue="+HE10JRjMZEqnpevoYkTfA==" spinCount="100000" sheet="1" objects="1" scenarios="1" selectLockedCells="1"/>
  <customSheetViews>
    <customSheetView guid="{14FA32B8-8DA0-4B39-A6E2-254F8891DDCC}" scale="68" showPageBreaks="1" printArea="1" view="pageBreakPreview">
      <selection activeCell="J12" sqref="J12"/>
      <pageMargins left="0.7" right="0.7" top="0.75" bottom="0.75" header="0.3" footer="0.3"/>
      <pageSetup paperSize="9" scale="57"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55" orientation="portrait" r:id="rId2"/>
  <headerFooter>
    <oddHeader>&amp;CUREDITEV RAFUTSKEGA PARKA Z LAŠČAKOVO VILO - Park&amp;RLUZ, d.d.</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theme="2" tint="-0.249977111117893"/>
  </sheetPr>
  <dimension ref="A1:I115"/>
  <sheetViews>
    <sheetView view="pageBreakPreview" zoomScale="80" zoomScaleNormal="100" zoomScaleSheetLayoutView="80" workbookViewId="0">
      <pane ySplit="6" topLeftCell="A7" activePane="bottomLeft" state="frozen"/>
      <selection pane="bottomLeft" activeCell="E103" sqref="E103"/>
    </sheetView>
  </sheetViews>
  <sheetFormatPr defaultColWidth="9.140625" defaultRowHeight="15"/>
  <cols>
    <col min="1" max="1" width="10.42578125" style="742" customWidth="1"/>
    <col min="2" max="2" width="75.5703125" style="742" customWidth="1"/>
    <col min="3" max="3" width="5.42578125" style="742" customWidth="1"/>
    <col min="4" max="4" width="8.5703125" style="742" customWidth="1"/>
    <col min="5" max="5" width="13.5703125" style="742" bestFit="1" customWidth="1"/>
    <col min="6" max="6" width="13.7109375" style="742" customWidth="1"/>
    <col min="7" max="7" width="9.140625" style="742"/>
    <col min="8" max="8" width="9.140625" style="742" customWidth="1"/>
    <col min="9" max="16384" width="9.140625" style="742"/>
  </cols>
  <sheetData>
    <row r="1" spans="1:9" s="571" customFormat="1">
      <c r="A1" s="1355" t="str">
        <f>Info!B1</f>
        <v>UREDITEV RAFUTSKEGA PARKA Z LAŠČAKOVO VILO - Park</v>
      </c>
      <c r="B1" s="1356"/>
      <c r="C1" s="1356"/>
      <c r="D1" s="1356"/>
      <c r="E1" s="1356"/>
      <c r="F1" s="1357"/>
    </row>
    <row r="2" spans="1:9" s="571" customFormat="1" ht="15.75" thickBot="1">
      <c r="A2" s="1358"/>
      <c r="B2" s="1359"/>
      <c r="C2" s="1359"/>
      <c r="D2" s="1359"/>
      <c r="E2" s="1359"/>
      <c r="F2" s="1360"/>
    </row>
    <row r="3" spans="1:9" s="571" customFormat="1" ht="15.75" thickBot="1">
      <c r="A3" s="1361"/>
      <c r="B3" s="1362"/>
      <c r="C3" s="5"/>
      <c r="D3" s="572"/>
      <c r="E3" s="573"/>
      <c r="F3" s="574"/>
    </row>
    <row r="4" spans="1:9" s="571" customFormat="1" ht="18" thickBot="1">
      <c r="A4" s="1363" t="s">
        <v>631</v>
      </c>
      <c r="B4" s="1364"/>
      <c r="C4" s="1364"/>
      <c r="D4" s="1364"/>
      <c r="E4" s="1364"/>
      <c r="F4" s="1365"/>
    </row>
    <row r="5" spans="1:9" s="571" customFormat="1">
      <c r="A5" s="577"/>
      <c r="B5" s="578"/>
      <c r="C5" s="579"/>
      <c r="D5" s="579"/>
      <c r="E5" s="580"/>
      <c r="F5" s="580"/>
    </row>
    <row r="6" spans="1:9" s="571" customFormat="1" ht="85.5">
      <c r="A6" s="582" t="s">
        <v>1</v>
      </c>
      <c r="B6" s="583" t="s">
        <v>2</v>
      </c>
      <c r="C6" s="584" t="s">
        <v>4</v>
      </c>
      <c r="D6" s="585" t="s">
        <v>9</v>
      </c>
      <c r="E6" s="586" t="s">
        <v>5</v>
      </c>
      <c r="F6" s="588" t="s">
        <v>1612</v>
      </c>
    </row>
    <row r="7" spans="1:9" ht="15.75" thickBot="1">
      <c r="A7" s="738"/>
      <c r="B7" s="739"/>
      <c r="C7" s="311"/>
      <c r="D7" s="740"/>
      <c r="E7" s="312"/>
      <c r="F7" s="312"/>
      <c r="G7" s="741"/>
    </row>
    <row r="8" spans="1:9" s="571" customFormat="1" ht="18" thickBot="1">
      <c r="A8" s="596" t="s">
        <v>239</v>
      </c>
      <c r="B8" s="596" t="s">
        <v>170</v>
      </c>
      <c r="C8" s="598"/>
      <c r="D8" s="599"/>
      <c r="E8" s="600"/>
      <c r="F8" s="601"/>
    </row>
    <row r="9" spans="1:9" s="744" customFormat="1" ht="26.25">
      <c r="A9" s="282" t="s">
        <v>597</v>
      </c>
      <c r="B9" s="285" t="s">
        <v>596</v>
      </c>
      <c r="C9" s="286" t="s">
        <v>543</v>
      </c>
      <c r="D9" s="743">
        <v>189.23</v>
      </c>
      <c r="E9" s="293"/>
      <c r="F9" s="295">
        <f>D9*E9</f>
        <v>0</v>
      </c>
      <c r="H9" s="287"/>
      <c r="I9" s="287"/>
    </row>
    <row r="10" spans="1:9" s="744" customFormat="1">
      <c r="A10" s="282"/>
      <c r="B10" s="285"/>
      <c r="C10" s="286"/>
      <c r="D10" s="284"/>
      <c r="E10" s="295"/>
      <c r="F10" s="295"/>
      <c r="H10" s="287"/>
      <c r="I10" s="287"/>
    </row>
    <row r="11" spans="1:9" s="744" customFormat="1" ht="26.25">
      <c r="A11" s="282" t="s">
        <v>595</v>
      </c>
      <c r="B11" s="285" t="s">
        <v>594</v>
      </c>
      <c r="C11" s="286" t="s">
        <v>549</v>
      </c>
      <c r="D11" s="284">
        <v>9</v>
      </c>
      <c r="E11" s="293"/>
      <c r="F11" s="295">
        <f>D11*E11</f>
        <v>0</v>
      </c>
      <c r="H11" s="287"/>
      <c r="I11" s="287"/>
    </row>
    <row r="12" spans="1:9" s="744" customFormat="1">
      <c r="A12" s="282"/>
      <c r="B12" s="285"/>
      <c r="C12" s="286"/>
      <c r="D12" s="284"/>
      <c r="E12" s="295"/>
      <c r="F12" s="295"/>
      <c r="H12" s="287"/>
      <c r="I12" s="287"/>
    </row>
    <row r="13" spans="1:9" s="744" customFormat="1" ht="26.25">
      <c r="A13" s="282" t="s">
        <v>593</v>
      </c>
      <c r="B13" s="285" t="s">
        <v>1422</v>
      </c>
      <c r="C13" s="286" t="s">
        <v>70</v>
      </c>
      <c r="D13" s="743">
        <v>189.23</v>
      </c>
      <c r="E13" s="293"/>
      <c r="F13" s="295">
        <f>D13*E13</f>
        <v>0</v>
      </c>
      <c r="H13" s="287"/>
      <c r="I13" s="287"/>
    </row>
    <row r="14" spans="1:9" s="744" customFormat="1">
      <c r="A14" s="282"/>
      <c r="B14" s="285"/>
      <c r="C14" s="286"/>
      <c r="D14" s="284"/>
      <c r="E14" s="734"/>
      <c r="F14" s="295"/>
      <c r="H14" s="287"/>
      <c r="I14" s="287"/>
    </row>
    <row r="15" spans="1:9" s="744" customFormat="1" ht="26.25">
      <c r="A15" s="282" t="s">
        <v>592</v>
      </c>
      <c r="B15" s="285" t="s">
        <v>590</v>
      </c>
      <c r="C15" s="286" t="s">
        <v>549</v>
      </c>
      <c r="D15" s="284">
        <v>1</v>
      </c>
      <c r="E15" s="293"/>
      <c r="F15" s="295">
        <f>D15*E15</f>
        <v>0</v>
      </c>
      <c r="H15" s="287"/>
      <c r="I15" s="287"/>
    </row>
    <row r="16" spans="1:9" s="744" customFormat="1">
      <c r="A16" s="282"/>
      <c r="B16" s="285"/>
      <c r="C16" s="286"/>
      <c r="D16" s="284"/>
      <c r="E16" s="734"/>
      <c r="F16" s="295"/>
      <c r="H16" s="287"/>
      <c r="I16" s="287"/>
    </row>
    <row r="17" spans="1:9" s="744" customFormat="1" ht="39">
      <c r="A17" s="282" t="s">
        <v>591</v>
      </c>
      <c r="B17" s="283" t="s">
        <v>1426</v>
      </c>
      <c r="C17" s="289"/>
      <c r="D17" s="289"/>
      <c r="E17" s="289"/>
      <c r="F17" s="295"/>
      <c r="H17" s="287"/>
      <c r="I17" s="287"/>
    </row>
    <row r="18" spans="1:9" s="744" customFormat="1">
      <c r="A18" s="282"/>
      <c r="B18" s="285" t="s">
        <v>586</v>
      </c>
      <c r="C18" s="290" t="s">
        <v>70</v>
      </c>
      <c r="D18" s="743">
        <v>189.23</v>
      </c>
      <c r="E18" s="293"/>
      <c r="F18" s="295">
        <f>D18*E18</f>
        <v>0</v>
      </c>
      <c r="H18" s="287"/>
      <c r="I18" s="287"/>
    </row>
    <row r="19" spans="1:9" s="744" customFormat="1">
      <c r="A19" s="282"/>
      <c r="B19" s="285" t="s">
        <v>585</v>
      </c>
      <c r="C19" s="290" t="s">
        <v>70</v>
      </c>
      <c r="D19" s="743">
        <v>189.23</v>
      </c>
      <c r="E19" s="293"/>
      <c r="F19" s="295">
        <f>D19*E19</f>
        <v>0</v>
      </c>
      <c r="H19" s="287"/>
      <c r="I19" s="287"/>
    </row>
    <row r="20" spans="1:9" s="744" customFormat="1">
      <c r="A20" s="303"/>
      <c r="B20" s="287"/>
      <c r="C20" s="287"/>
      <c r="D20" s="287"/>
      <c r="E20" s="734"/>
      <c r="F20" s="287"/>
      <c r="H20" s="287"/>
      <c r="I20" s="287"/>
    </row>
    <row r="21" spans="1:9" s="744" customFormat="1" ht="15.75" thickBot="1">
      <c r="A21" s="745"/>
      <c r="B21" s="305" t="s">
        <v>579</v>
      </c>
      <c r="C21" s="746"/>
      <c r="D21" s="747"/>
      <c r="E21" s="748"/>
      <c r="F21" s="749">
        <f>SUM(F9:F20)</f>
        <v>0</v>
      </c>
      <c r="H21" s="287"/>
      <c r="I21" s="287"/>
    </row>
    <row r="22" spans="1:9" s="744" customFormat="1" ht="15.75" thickTop="1">
      <c r="A22" s="296"/>
      <c r="B22" s="297"/>
      <c r="C22" s="298"/>
      <c r="D22" s="299"/>
      <c r="E22" s="300"/>
      <c r="F22" s="301"/>
      <c r="H22" s="287"/>
      <c r="I22" s="287"/>
    </row>
    <row r="23" spans="1:9" s="752" customFormat="1">
      <c r="A23" s="738"/>
      <c r="B23" s="741"/>
      <c r="C23" s="750"/>
      <c r="D23" s="751"/>
      <c r="E23" s="312"/>
      <c r="F23" s="312"/>
      <c r="H23" s="741"/>
      <c r="I23" s="741"/>
    </row>
    <row r="24" spans="1:9" s="752" customFormat="1" ht="15.75">
      <c r="A24" s="753" t="s">
        <v>578</v>
      </c>
      <c r="B24" s="753" t="s">
        <v>171</v>
      </c>
      <c r="C24" s="311"/>
      <c r="D24" s="740"/>
      <c r="E24" s="312"/>
      <c r="F24" s="312"/>
      <c r="H24" s="741"/>
      <c r="I24" s="741"/>
    </row>
    <row r="25" spans="1:9" s="752" customFormat="1" ht="15.75">
      <c r="A25" s="753"/>
      <c r="B25" s="753"/>
      <c r="C25" s="311"/>
      <c r="D25" s="740"/>
      <c r="E25" s="312"/>
      <c r="F25" s="312"/>
      <c r="H25" s="741"/>
      <c r="I25" s="741"/>
    </row>
    <row r="26" spans="1:9" s="752" customFormat="1" ht="15.75">
      <c r="A26" s="753"/>
      <c r="B26" s="753" t="s">
        <v>615</v>
      </c>
      <c r="C26" s="311"/>
      <c r="D26" s="740"/>
      <c r="E26" s="312"/>
      <c r="F26" s="312"/>
      <c r="H26" s="741"/>
      <c r="I26" s="741"/>
    </row>
    <row r="27" spans="1:9" s="752" customFormat="1" ht="26.25">
      <c r="A27" s="753"/>
      <c r="B27" s="285" t="s">
        <v>614</v>
      </c>
      <c r="C27" s="311"/>
      <c r="D27" s="740"/>
      <c r="E27" s="312"/>
      <c r="F27" s="312"/>
      <c r="H27" s="741"/>
      <c r="I27" s="741"/>
    </row>
    <row r="28" spans="1:9" s="752" customFormat="1" ht="15.75">
      <c r="A28" s="753"/>
      <c r="B28" s="285" t="s">
        <v>613</v>
      </c>
      <c r="C28" s="311"/>
      <c r="D28" s="740"/>
      <c r="E28" s="312"/>
      <c r="F28" s="312"/>
      <c r="H28" s="741"/>
      <c r="I28" s="741"/>
    </row>
    <row r="29" spans="1:9" s="752" customFormat="1" ht="15.75">
      <c r="A29" s="753"/>
      <c r="B29" s="285"/>
      <c r="C29" s="311"/>
      <c r="D29" s="740"/>
      <c r="E29" s="312"/>
      <c r="F29" s="312"/>
      <c r="H29" s="741"/>
      <c r="I29" s="741"/>
    </row>
    <row r="30" spans="1:9" s="752" customFormat="1" ht="15.75">
      <c r="A30" s="753"/>
      <c r="B30" s="285"/>
      <c r="C30" s="311"/>
      <c r="D30" s="740"/>
      <c r="E30" s="312"/>
      <c r="F30" s="312"/>
      <c r="H30" s="741"/>
      <c r="I30" s="741"/>
    </row>
    <row r="31" spans="1:9" s="752" customFormat="1" ht="25.5">
      <c r="A31" s="282" t="s">
        <v>573</v>
      </c>
      <c r="B31" s="316" t="s">
        <v>612</v>
      </c>
      <c r="C31" s="298" t="s">
        <v>11</v>
      </c>
      <c r="D31" s="299">
        <v>180.52</v>
      </c>
      <c r="E31" s="737"/>
      <c r="F31" s="317">
        <f>D31*E31</f>
        <v>0</v>
      </c>
      <c r="H31" s="741"/>
      <c r="I31" s="741"/>
    </row>
    <row r="32" spans="1:9" s="752" customFormat="1" ht="15.75">
      <c r="A32" s="753"/>
      <c r="B32" s="285"/>
      <c r="C32" s="311"/>
      <c r="D32" s="740"/>
      <c r="E32" s="312"/>
      <c r="F32" s="312"/>
      <c r="H32" s="741"/>
      <c r="I32" s="741"/>
    </row>
    <row r="33" spans="1:9" s="752" customFormat="1" ht="26.25">
      <c r="A33" s="738" t="s">
        <v>571</v>
      </c>
      <c r="B33" s="285" t="s">
        <v>572</v>
      </c>
      <c r="C33" s="286" t="s">
        <v>11</v>
      </c>
      <c r="D33" s="294">
        <v>8.7100000000000009</v>
      </c>
      <c r="E33" s="288"/>
      <c r="F33" s="295">
        <f>D33*E33</f>
        <v>0</v>
      </c>
      <c r="H33" s="741"/>
      <c r="I33" s="741"/>
    </row>
    <row r="34" spans="1:9" s="752" customFormat="1" ht="15.75">
      <c r="A34" s="738"/>
      <c r="B34" s="753"/>
      <c r="C34" s="311"/>
      <c r="D34" s="740"/>
      <c r="E34" s="312"/>
      <c r="F34" s="312"/>
      <c r="H34" s="741"/>
      <c r="I34" s="741"/>
    </row>
    <row r="35" spans="1:9" s="752" customFormat="1" ht="39">
      <c r="A35" s="738" t="s">
        <v>570</v>
      </c>
      <c r="B35" s="754" t="s">
        <v>611</v>
      </c>
      <c r="C35" s="311" t="s">
        <v>40</v>
      </c>
      <c r="D35" s="755">
        <f>380.55*0.9</f>
        <v>342.495</v>
      </c>
      <c r="E35" s="733"/>
      <c r="F35" s="312">
        <f>D35*E35</f>
        <v>0</v>
      </c>
      <c r="H35" s="741"/>
      <c r="I35" s="741"/>
    </row>
    <row r="36" spans="1:9" s="752" customFormat="1">
      <c r="A36" s="757"/>
      <c r="B36" s="754"/>
      <c r="C36" s="311"/>
      <c r="D36" s="755"/>
      <c r="E36" s="756"/>
      <c r="F36" s="312"/>
      <c r="H36" s="741"/>
      <c r="I36" s="741"/>
    </row>
    <row r="37" spans="1:9" s="752" customFormat="1" ht="39">
      <c r="A37" s="738" t="s">
        <v>568</v>
      </c>
      <c r="B37" s="754" t="s">
        <v>569</v>
      </c>
      <c r="C37" s="311" t="s">
        <v>40</v>
      </c>
      <c r="D37" s="755">
        <f>380.55*0.1</f>
        <v>38.055</v>
      </c>
      <c r="E37" s="733"/>
      <c r="F37" s="312">
        <f>D37*E37</f>
        <v>0</v>
      </c>
      <c r="H37" s="741"/>
      <c r="I37" s="741"/>
    </row>
    <row r="38" spans="1:9" s="752" customFormat="1">
      <c r="A38" s="738"/>
      <c r="B38" s="754"/>
      <c r="C38" s="311"/>
      <c r="D38" s="755"/>
      <c r="E38" s="756"/>
      <c r="F38" s="312"/>
      <c r="H38" s="741"/>
      <c r="I38" s="741"/>
    </row>
    <row r="39" spans="1:9" s="752" customFormat="1" ht="39">
      <c r="A39" s="282" t="s">
        <v>565</v>
      </c>
      <c r="B39" s="283" t="s">
        <v>610</v>
      </c>
      <c r="C39" s="286" t="s">
        <v>40</v>
      </c>
      <c r="D39" s="758">
        <v>34.5</v>
      </c>
      <c r="E39" s="293"/>
      <c r="F39" s="295">
        <f>D39*E39</f>
        <v>0</v>
      </c>
      <c r="H39" s="741"/>
      <c r="I39" s="741"/>
    </row>
    <row r="40" spans="1:9" s="752" customFormat="1">
      <c r="A40" s="282"/>
      <c r="B40" s="283"/>
      <c r="C40" s="286"/>
      <c r="D40" s="758"/>
      <c r="E40" s="734"/>
      <c r="F40" s="295"/>
      <c r="H40" s="741"/>
      <c r="I40" s="741"/>
    </row>
    <row r="41" spans="1:9" s="752" customFormat="1" ht="39">
      <c r="A41" s="282" t="s">
        <v>563</v>
      </c>
      <c r="B41" s="292" t="s">
        <v>609</v>
      </c>
      <c r="C41" s="286" t="s">
        <v>70</v>
      </c>
      <c r="D41" s="284">
        <v>20</v>
      </c>
      <c r="E41" s="293"/>
      <c r="F41" s="295">
        <f>D41*E41</f>
        <v>0</v>
      </c>
      <c r="H41" s="741"/>
      <c r="I41" s="741"/>
    </row>
    <row r="42" spans="1:9" s="752" customFormat="1">
      <c r="A42" s="282"/>
      <c r="B42" s="292"/>
      <c r="C42" s="286"/>
      <c r="D42" s="284"/>
      <c r="E42" s="295"/>
      <c r="F42" s="312"/>
      <c r="H42" s="741"/>
      <c r="I42" s="741"/>
    </row>
    <row r="43" spans="1:9" s="752" customFormat="1" ht="26.25">
      <c r="A43" s="738" t="s">
        <v>561</v>
      </c>
      <c r="B43" s="759" t="s">
        <v>567</v>
      </c>
      <c r="C43" s="311" t="s">
        <v>566</v>
      </c>
      <c r="D43" s="743">
        <v>189.23</v>
      </c>
      <c r="E43" s="733"/>
      <c r="F43" s="312">
        <f>D43*E43</f>
        <v>0</v>
      </c>
      <c r="H43" s="741"/>
      <c r="I43" s="741"/>
    </row>
    <row r="44" spans="1:9" s="752" customFormat="1">
      <c r="A44" s="760"/>
      <c r="B44" s="759"/>
      <c r="C44" s="311"/>
      <c r="D44" s="743"/>
      <c r="E44" s="756"/>
      <c r="F44" s="312"/>
      <c r="H44" s="741"/>
      <c r="I44" s="741"/>
    </row>
    <row r="45" spans="1:9" s="752" customFormat="1" ht="39">
      <c r="A45" s="738" t="s">
        <v>559</v>
      </c>
      <c r="B45" s="759" t="s">
        <v>564</v>
      </c>
      <c r="C45" s="311" t="s">
        <v>40</v>
      </c>
      <c r="D45" s="743">
        <v>18.09</v>
      </c>
      <c r="E45" s="733"/>
      <c r="F45" s="312">
        <f>D45*E45</f>
        <v>0</v>
      </c>
      <c r="H45" s="741"/>
      <c r="I45" s="741"/>
    </row>
    <row r="46" spans="1:9" s="752" customFormat="1">
      <c r="A46" s="757"/>
      <c r="B46" s="761"/>
      <c r="C46" s="311"/>
      <c r="D46" s="743"/>
      <c r="E46" s="312"/>
      <c r="F46" s="312"/>
      <c r="H46" s="741"/>
      <c r="I46" s="741"/>
    </row>
    <row r="47" spans="1:9" s="752" customFormat="1" ht="51.75">
      <c r="A47" s="738" t="s">
        <v>557</v>
      </c>
      <c r="B47" s="762" t="s">
        <v>562</v>
      </c>
      <c r="C47" s="311" t="s">
        <v>40</v>
      </c>
      <c r="D47" s="763">
        <v>69.64</v>
      </c>
      <c r="E47" s="733"/>
      <c r="F47" s="312">
        <f>D47*E47</f>
        <v>0</v>
      </c>
      <c r="H47" s="741"/>
      <c r="I47" s="741"/>
    </row>
    <row r="48" spans="1:9" s="752" customFormat="1">
      <c r="A48" s="738"/>
      <c r="B48" s="762"/>
      <c r="C48" s="311"/>
      <c r="D48" s="763"/>
      <c r="E48" s="756"/>
      <c r="F48" s="312"/>
      <c r="H48" s="741"/>
      <c r="I48" s="741"/>
    </row>
    <row r="49" spans="1:9" s="752" customFormat="1" ht="26.25">
      <c r="A49" s="738" t="s">
        <v>555</v>
      </c>
      <c r="B49" s="754" t="s">
        <v>560</v>
      </c>
      <c r="C49" s="311" t="s">
        <v>40</v>
      </c>
      <c r="D49" s="743">
        <v>248.77</v>
      </c>
      <c r="E49" s="733"/>
      <c r="F49" s="312">
        <f>D49*E49</f>
        <v>0</v>
      </c>
      <c r="H49" s="741"/>
      <c r="I49" s="741"/>
    </row>
    <row r="50" spans="1:9" s="752" customFormat="1">
      <c r="A50" s="738"/>
      <c r="B50" s="754"/>
      <c r="C50" s="311"/>
      <c r="D50" s="743"/>
      <c r="E50" s="756"/>
      <c r="F50" s="312"/>
      <c r="H50" s="741"/>
      <c r="I50" s="741"/>
    </row>
    <row r="51" spans="1:9" s="752" customFormat="1" ht="26.25">
      <c r="A51" s="282" t="s">
        <v>608</v>
      </c>
      <c r="B51" s="754" t="s">
        <v>607</v>
      </c>
      <c r="C51" s="311" t="s">
        <v>40</v>
      </c>
      <c r="D51" s="743">
        <v>87.64</v>
      </c>
      <c r="E51" s="733"/>
      <c r="F51" s="312">
        <f>D51*E51</f>
        <v>0</v>
      </c>
      <c r="H51" s="741"/>
      <c r="I51" s="741"/>
    </row>
    <row r="52" spans="1:9" s="752" customFormat="1">
      <c r="A52" s="757"/>
      <c r="B52" s="754"/>
      <c r="C52" s="311"/>
      <c r="D52" s="743"/>
      <c r="E52" s="756"/>
      <c r="F52" s="312"/>
      <c r="H52" s="741"/>
      <c r="I52" s="741"/>
    </row>
    <row r="53" spans="1:9" s="752" customFormat="1">
      <c r="A53" s="738" t="s">
        <v>606</v>
      </c>
      <c r="B53" s="292" t="s">
        <v>556</v>
      </c>
      <c r="C53" s="286" t="s">
        <v>116</v>
      </c>
      <c r="D53" s="743">
        <v>19</v>
      </c>
      <c r="E53" s="293"/>
      <c r="F53" s="295">
        <f>D53*E53</f>
        <v>0</v>
      </c>
      <c r="H53" s="741"/>
      <c r="I53" s="741"/>
    </row>
    <row r="54" spans="1:9" s="752" customFormat="1">
      <c r="A54" s="738"/>
      <c r="B54" s="292"/>
      <c r="C54" s="286"/>
      <c r="D54" s="743"/>
      <c r="E54" s="734"/>
      <c r="F54" s="295"/>
      <c r="H54" s="741"/>
      <c r="I54" s="741"/>
    </row>
    <row r="55" spans="1:9" s="752" customFormat="1" ht="26.25">
      <c r="A55" s="282" t="s">
        <v>605</v>
      </c>
      <c r="B55" s="318" t="s">
        <v>604</v>
      </c>
      <c r="C55" s="286" t="s">
        <v>10</v>
      </c>
      <c r="D55" s="319">
        <v>1</v>
      </c>
      <c r="E55" s="293"/>
      <c r="F55" s="295">
        <f>D55*E55</f>
        <v>0</v>
      </c>
      <c r="H55" s="741"/>
      <c r="I55" s="741"/>
    </row>
    <row r="56" spans="1:9" s="752" customFormat="1">
      <c r="H56" s="741"/>
      <c r="I56" s="741"/>
    </row>
    <row r="57" spans="1:9" s="752" customFormat="1" ht="26.25">
      <c r="A57" s="282" t="s">
        <v>603</v>
      </c>
      <c r="B57" s="318" t="s">
        <v>602</v>
      </c>
      <c r="C57" s="286" t="s">
        <v>10</v>
      </c>
      <c r="D57" s="319">
        <v>1</v>
      </c>
      <c r="E57" s="293"/>
      <c r="F57" s="295">
        <f>D57*E57</f>
        <v>0</v>
      </c>
      <c r="H57" s="741"/>
      <c r="I57" s="741"/>
    </row>
    <row r="58" spans="1:9" s="752" customFormat="1">
      <c r="H58" s="741"/>
      <c r="I58" s="741"/>
    </row>
    <row r="59" spans="1:9" s="752" customFormat="1" ht="51.75">
      <c r="A59" s="282" t="s">
        <v>601</v>
      </c>
      <c r="B59" s="318" t="s">
        <v>600</v>
      </c>
      <c r="C59" s="286" t="s">
        <v>70</v>
      </c>
      <c r="D59" s="319">
        <v>20</v>
      </c>
      <c r="E59" s="293"/>
      <c r="F59" s="295">
        <f>D59*E59</f>
        <v>0</v>
      </c>
      <c r="H59" s="741"/>
      <c r="I59" s="741"/>
    </row>
    <row r="60" spans="1:9" s="752" customFormat="1">
      <c r="A60" s="282"/>
      <c r="B60" s="318"/>
      <c r="C60" s="286"/>
      <c r="D60" s="319"/>
      <c r="E60" s="734"/>
      <c r="F60" s="295"/>
      <c r="H60" s="741"/>
      <c r="I60" s="741"/>
    </row>
    <row r="61" spans="1:9" s="752" customFormat="1" ht="26.25">
      <c r="A61" s="282" t="s">
        <v>1427</v>
      </c>
      <c r="B61" s="318" t="s">
        <v>1428</v>
      </c>
      <c r="C61" s="286" t="s">
        <v>40</v>
      </c>
      <c r="D61" s="319">
        <f>0.2*95.411</f>
        <v>19.0822</v>
      </c>
      <c r="E61" s="293"/>
      <c r="F61" s="295">
        <f>D61*E61</f>
        <v>0</v>
      </c>
      <c r="H61" s="741"/>
      <c r="I61" s="741"/>
    </row>
    <row r="62" spans="1:9" s="752" customFormat="1">
      <c r="A62" s="282"/>
      <c r="B62" s="318"/>
      <c r="C62" s="286"/>
      <c r="D62" s="319"/>
      <c r="E62" s="734"/>
      <c r="F62" s="295"/>
      <c r="H62" s="741"/>
      <c r="I62" s="741"/>
    </row>
    <row r="63" spans="1:9" s="752" customFormat="1" ht="77.25">
      <c r="A63" s="282" t="s">
        <v>1429</v>
      </c>
      <c r="B63" s="318" t="s">
        <v>336</v>
      </c>
      <c r="C63" s="286" t="s">
        <v>11</v>
      </c>
      <c r="D63" s="319">
        <f>4*95.411</f>
        <v>381.64400000000001</v>
      </c>
      <c r="E63" s="293"/>
      <c r="F63" s="295">
        <f>D63*E63</f>
        <v>0</v>
      </c>
      <c r="H63" s="741"/>
      <c r="I63" s="741"/>
    </row>
    <row r="64" spans="1:9" s="752" customFormat="1">
      <c r="A64" s="282"/>
      <c r="B64" s="318"/>
      <c r="C64" s="286"/>
      <c r="D64" s="319"/>
      <c r="E64" s="734"/>
      <c r="F64" s="295"/>
      <c r="H64" s="741"/>
      <c r="I64" s="741"/>
    </row>
    <row r="65" spans="1:9" s="752" customFormat="1" ht="51.75">
      <c r="A65" s="282" t="s">
        <v>1430</v>
      </c>
      <c r="B65" s="318" t="s">
        <v>1431</v>
      </c>
      <c r="C65" s="286" t="s">
        <v>11</v>
      </c>
      <c r="D65" s="319">
        <f>4*95.411</f>
        <v>381.64400000000001</v>
      </c>
      <c r="E65" s="293"/>
      <c r="F65" s="295">
        <f>D65*E65</f>
        <v>0</v>
      </c>
      <c r="H65" s="741"/>
      <c r="I65" s="741"/>
    </row>
    <row r="66" spans="1:9" s="752" customFormat="1">
      <c r="A66" s="757"/>
      <c r="B66" s="764"/>
      <c r="C66" s="311"/>
      <c r="D66" s="740"/>
      <c r="E66" s="312"/>
      <c r="F66" s="312"/>
      <c r="H66" s="741"/>
      <c r="I66" s="741"/>
    </row>
    <row r="67" spans="1:9" s="752" customFormat="1" ht="15.75" thickBot="1">
      <c r="A67" s="765"/>
      <c r="B67" s="766" t="s">
        <v>554</v>
      </c>
      <c r="C67" s="163"/>
      <c r="D67" s="162"/>
      <c r="E67" s="161"/>
      <c r="F67" s="749">
        <f>SUM(F29:F65)</f>
        <v>0</v>
      </c>
      <c r="H67" s="741"/>
      <c r="I67" s="741"/>
    </row>
    <row r="68" spans="1:9" s="752" customFormat="1" ht="15.75" thickTop="1">
      <c r="A68" s="738"/>
      <c r="B68" s="767"/>
      <c r="C68" s="768"/>
      <c r="D68" s="769"/>
      <c r="E68" s="770"/>
      <c r="F68" s="771"/>
      <c r="H68" s="741"/>
      <c r="I68" s="741"/>
    </row>
    <row r="69" spans="1:9" s="752" customFormat="1">
      <c r="A69" s="772"/>
      <c r="B69" s="292"/>
      <c r="C69" s="768"/>
      <c r="D69" s="769"/>
      <c r="E69" s="770"/>
      <c r="F69" s="771"/>
      <c r="H69" s="741"/>
      <c r="I69" s="741"/>
    </row>
    <row r="70" spans="1:9" s="752" customFormat="1" ht="15.75">
      <c r="A70" s="753" t="s">
        <v>553</v>
      </c>
      <c r="B70" s="753" t="s">
        <v>100</v>
      </c>
      <c r="C70" s="311"/>
      <c r="D70" s="740"/>
      <c r="E70" s="312"/>
      <c r="F70" s="312"/>
      <c r="H70" s="741"/>
      <c r="I70" s="741"/>
    </row>
    <row r="71" spans="1:9" s="752" customFormat="1" ht="15.75">
      <c r="A71" s="753"/>
      <c r="B71" s="753"/>
      <c r="C71" s="311"/>
      <c r="D71" s="740"/>
      <c r="E71" s="312"/>
      <c r="F71" s="312"/>
      <c r="H71" s="741"/>
      <c r="I71" s="741"/>
    </row>
    <row r="72" spans="1:9" s="752" customFormat="1" ht="26.25">
      <c r="A72" s="753"/>
      <c r="B72" s="773" t="s">
        <v>1592</v>
      </c>
      <c r="C72" s="311"/>
      <c r="D72" s="740"/>
      <c r="E72" s="312"/>
      <c r="F72" s="312"/>
      <c r="H72" s="741"/>
      <c r="I72" s="741"/>
    </row>
    <row r="73" spans="1:9" s="752" customFormat="1">
      <c r="A73" s="738"/>
      <c r="C73" s="311"/>
      <c r="D73" s="743"/>
      <c r="E73" s="312"/>
      <c r="F73" s="312"/>
      <c r="H73" s="741"/>
      <c r="I73" s="741"/>
    </row>
    <row r="74" spans="1:9" s="752" customFormat="1" ht="77.25">
      <c r="A74" s="738" t="s">
        <v>552</v>
      </c>
      <c r="B74" s="773" t="s">
        <v>1432</v>
      </c>
      <c r="C74" s="311" t="s">
        <v>10</v>
      </c>
      <c r="D74" s="743">
        <v>4</v>
      </c>
      <c r="E74" s="735"/>
      <c r="F74" s="312">
        <f>D74*E74</f>
        <v>0</v>
      </c>
      <c r="H74" s="774"/>
      <c r="I74" s="774"/>
    </row>
    <row r="75" spans="1:9" s="752" customFormat="1">
      <c r="A75" s="772"/>
      <c r="B75" s="292"/>
      <c r="C75" s="768"/>
      <c r="D75" s="769"/>
      <c r="E75" s="770"/>
      <c r="F75" s="771"/>
      <c r="H75" s="741"/>
      <c r="I75" s="741"/>
    </row>
    <row r="76" spans="1:9" s="752" customFormat="1" ht="77.25">
      <c r="A76" s="738" t="s">
        <v>551</v>
      </c>
      <c r="B76" s="773" t="s">
        <v>1433</v>
      </c>
      <c r="C76" s="311" t="s">
        <v>10</v>
      </c>
      <c r="D76" s="743">
        <v>2</v>
      </c>
      <c r="E76" s="735"/>
      <c r="F76" s="312">
        <f>D76*E76</f>
        <v>0</v>
      </c>
      <c r="H76" s="741"/>
      <c r="I76" s="741"/>
    </row>
    <row r="77" spans="1:9" s="752" customFormat="1">
      <c r="A77" s="738"/>
      <c r="B77" s="773"/>
      <c r="C77" s="311"/>
      <c r="D77" s="743"/>
      <c r="E77" s="312"/>
      <c r="F77" s="312"/>
      <c r="H77" s="741"/>
      <c r="I77" s="741"/>
    </row>
    <row r="78" spans="1:9" s="752" customFormat="1" ht="64.5">
      <c r="A78" s="738" t="s">
        <v>599</v>
      </c>
      <c r="B78" s="773" t="s">
        <v>1434</v>
      </c>
      <c r="C78" s="311" t="s">
        <v>10</v>
      </c>
      <c r="D78" s="743">
        <v>1</v>
      </c>
      <c r="E78" s="735"/>
      <c r="F78" s="312">
        <f>D78*E78</f>
        <v>0</v>
      </c>
      <c r="H78" s="741"/>
      <c r="I78" s="741"/>
    </row>
    <row r="79" spans="1:9" s="752" customFormat="1">
      <c r="A79" s="738"/>
      <c r="B79" s="773"/>
      <c r="C79" s="311"/>
      <c r="D79" s="743"/>
      <c r="E79" s="312"/>
      <c r="F79" s="312"/>
      <c r="H79" s="741"/>
      <c r="I79" s="741"/>
    </row>
    <row r="80" spans="1:9" s="752" customFormat="1" ht="77.25">
      <c r="A80" s="738" t="s">
        <v>598</v>
      </c>
      <c r="B80" s="773" t="s">
        <v>1435</v>
      </c>
      <c r="C80" s="311" t="s">
        <v>10</v>
      </c>
      <c r="D80" s="743">
        <v>2</v>
      </c>
      <c r="E80" s="735"/>
      <c r="F80" s="312">
        <f>D80*E80</f>
        <v>0</v>
      </c>
      <c r="H80" s="741"/>
      <c r="I80" s="741"/>
    </row>
    <row r="81" spans="1:9" s="752" customFormat="1">
      <c r="A81" s="738"/>
      <c r="B81" s="773"/>
      <c r="C81" s="311"/>
      <c r="D81" s="743"/>
      <c r="E81" s="312"/>
      <c r="F81" s="312"/>
      <c r="H81" s="741"/>
      <c r="I81" s="741"/>
    </row>
    <row r="82" spans="1:9" s="752" customFormat="1" ht="46.5" customHeight="1">
      <c r="A82" s="738" t="s">
        <v>1584</v>
      </c>
      <c r="B82" s="773" t="s">
        <v>1436</v>
      </c>
      <c r="C82" s="311" t="s">
        <v>40</v>
      </c>
      <c r="D82" s="743">
        <f>1*1.5*5</f>
        <v>7.5</v>
      </c>
      <c r="E82" s="735"/>
      <c r="F82" s="312">
        <f>D82*E82</f>
        <v>0</v>
      </c>
      <c r="H82" s="741"/>
      <c r="I82" s="741"/>
    </row>
    <row r="83" spans="1:9" s="752" customFormat="1">
      <c r="A83" s="738"/>
      <c r="B83" s="739"/>
      <c r="C83" s="311"/>
      <c r="D83" s="740"/>
      <c r="E83" s="312"/>
      <c r="F83" s="312"/>
      <c r="H83" s="741"/>
      <c r="I83" s="741"/>
    </row>
    <row r="84" spans="1:9" s="752" customFormat="1" ht="15.75" thickBot="1">
      <c r="A84" s="765"/>
      <c r="B84" s="766" t="s">
        <v>548</v>
      </c>
      <c r="C84" s="163"/>
      <c r="D84" s="162"/>
      <c r="E84" s="161"/>
      <c r="F84" s="749">
        <f>SUM(F74:F82)</f>
        <v>0</v>
      </c>
      <c r="H84" s="741"/>
      <c r="I84" s="741"/>
    </row>
    <row r="85" spans="1:9" s="752" customFormat="1" ht="15.75" thickTop="1">
      <c r="A85" s="772"/>
      <c r="B85" s="767"/>
      <c r="C85" s="768"/>
      <c r="D85" s="769"/>
      <c r="E85" s="770"/>
      <c r="F85" s="771"/>
      <c r="H85" s="741"/>
      <c r="I85" s="741"/>
    </row>
    <row r="86" spans="1:9" s="752" customFormat="1" ht="15.75">
      <c r="A86" s="753" t="s">
        <v>547</v>
      </c>
      <c r="B86" s="753" t="s">
        <v>546</v>
      </c>
      <c r="C86" s="311"/>
      <c r="D86" s="740"/>
      <c r="E86" s="312"/>
      <c r="F86" s="312"/>
      <c r="H86" s="741"/>
      <c r="I86" s="741"/>
    </row>
    <row r="87" spans="1:9" s="752" customFormat="1">
      <c r="A87" s="738"/>
      <c r="B87" s="739"/>
      <c r="C87" s="311"/>
      <c r="D87" s="740"/>
      <c r="E87" s="312"/>
      <c r="F87" s="312"/>
      <c r="H87" s="741"/>
      <c r="I87" s="741"/>
    </row>
    <row r="88" spans="1:9" s="752" customFormat="1" ht="39">
      <c r="A88" s="738" t="s">
        <v>545</v>
      </c>
      <c r="B88" s="292" t="s">
        <v>544</v>
      </c>
      <c r="C88" s="286" t="s">
        <v>543</v>
      </c>
      <c r="D88" s="743">
        <v>189.23</v>
      </c>
      <c r="E88" s="736"/>
      <c r="F88" s="312">
        <f>D88*E88</f>
        <v>0</v>
      </c>
      <c r="H88" s="741"/>
      <c r="I88" s="741"/>
    </row>
    <row r="89" spans="1:9" s="752" customFormat="1">
      <c r="A89" s="738"/>
      <c r="B89" s="759"/>
      <c r="C89" s="311"/>
      <c r="D89" s="743"/>
      <c r="E89" s="756"/>
      <c r="F89" s="312"/>
      <c r="H89" s="741"/>
      <c r="I89" s="741"/>
    </row>
    <row r="90" spans="1:9" s="752" customFormat="1">
      <c r="A90" s="282" t="s">
        <v>542</v>
      </c>
      <c r="B90" s="292" t="s">
        <v>541</v>
      </c>
      <c r="C90" s="286" t="s">
        <v>70</v>
      </c>
      <c r="D90" s="743">
        <v>189.23</v>
      </c>
      <c r="E90" s="293"/>
      <c r="F90" s="295">
        <f>D90*E90</f>
        <v>0</v>
      </c>
      <c r="H90" s="741"/>
      <c r="I90" s="741"/>
    </row>
    <row r="91" spans="1:9" s="752" customFormat="1">
      <c r="A91" s="296"/>
      <c r="B91" s="297"/>
      <c r="C91" s="298"/>
      <c r="D91" s="299"/>
      <c r="E91" s="300"/>
      <c r="F91" s="301"/>
      <c r="H91" s="741"/>
      <c r="I91" s="741"/>
    </row>
    <row r="92" spans="1:9" s="752" customFormat="1" ht="26.25">
      <c r="A92" s="282" t="s">
        <v>540</v>
      </c>
      <c r="B92" s="292" t="s">
        <v>539</v>
      </c>
      <c r="C92" s="286" t="s">
        <v>70</v>
      </c>
      <c r="D92" s="743">
        <v>189.23</v>
      </c>
      <c r="E92" s="293"/>
      <c r="F92" s="295">
        <f>E92*D92</f>
        <v>0</v>
      </c>
      <c r="H92" s="741"/>
      <c r="I92" s="741"/>
    </row>
    <row r="93" spans="1:9" s="752" customFormat="1">
      <c r="A93" s="282"/>
      <c r="B93" s="292"/>
      <c r="C93" s="286"/>
      <c r="D93" s="284"/>
      <c r="E93" s="734"/>
      <c r="F93" s="295"/>
      <c r="H93" s="741"/>
      <c r="I93" s="741"/>
    </row>
    <row r="94" spans="1:9" s="752" customFormat="1">
      <c r="A94" s="282" t="s">
        <v>538</v>
      </c>
      <c r="B94" s="292" t="s">
        <v>537</v>
      </c>
      <c r="C94" s="286" t="s">
        <v>70</v>
      </c>
      <c r="D94" s="743">
        <v>189.23</v>
      </c>
      <c r="E94" s="293"/>
      <c r="F94" s="295">
        <f>D94*E94</f>
        <v>0</v>
      </c>
      <c r="H94" s="741"/>
      <c r="I94" s="741"/>
    </row>
    <row r="95" spans="1:9" s="752" customFormat="1">
      <c r="A95" s="738"/>
      <c r="B95" s="739"/>
      <c r="C95" s="311"/>
      <c r="D95" s="740"/>
      <c r="E95" s="312"/>
      <c r="F95" s="312"/>
      <c r="H95" s="741"/>
      <c r="I95" s="741"/>
    </row>
    <row r="96" spans="1:9" s="752" customFormat="1" ht="15.75" thickBot="1">
      <c r="A96" s="775"/>
      <c r="B96" s="766" t="s">
        <v>536</v>
      </c>
      <c r="C96" s="776"/>
      <c r="D96" s="777"/>
      <c r="E96" s="778"/>
      <c r="F96" s="749">
        <f>SUM(F88:F94)</f>
        <v>0</v>
      </c>
      <c r="H96" s="741"/>
      <c r="I96" s="741"/>
    </row>
    <row r="97" spans="1:9" s="752" customFormat="1" ht="15.75" thickTop="1">
      <c r="A97" s="779"/>
      <c r="B97" s="767"/>
      <c r="C97" s="780"/>
      <c r="D97" s="781"/>
      <c r="E97" s="771"/>
      <c r="F97" s="771"/>
      <c r="H97" s="741"/>
      <c r="I97" s="741"/>
    </row>
    <row r="98" spans="1:9" s="752" customFormat="1">
      <c r="A98" s="779"/>
      <c r="B98" s="767"/>
      <c r="C98" s="780"/>
      <c r="D98" s="781"/>
      <c r="E98" s="771"/>
      <c r="F98" s="771"/>
      <c r="H98" s="741"/>
      <c r="I98" s="741"/>
    </row>
    <row r="99" spans="1:9" s="752" customFormat="1" ht="15.75">
      <c r="A99" s="302" t="s">
        <v>535</v>
      </c>
      <c r="B99" s="302" t="s">
        <v>534</v>
      </c>
      <c r="C99" s="286"/>
      <c r="D99" s="294"/>
      <c r="E99" s="295"/>
      <c r="F99" s="782"/>
      <c r="H99" s="782"/>
    </row>
    <row r="100" spans="1:9" s="752" customFormat="1">
      <c r="A100" s="282"/>
      <c r="B100" s="303"/>
      <c r="C100" s="286"/>
      <c r="D100" s="294"/>
      <c r="E100" s="295"/>
      <c r="F100" s="782"/>
      <c r="H100" s="782"/>
    </row>
    <row r="101" spans="1:9" s="752" customFormat="1">
      <c r="A101" s="282" t="s">
        <v>533</v>
      </c>
      <c r="B101" s="292" t="s">
        <v>532</v>
      </c>
      <c r="C101" s="286"/>
      <c r="D101" s="284"/>
      <c r="E101" s="295"/>
      <c r="F101" s="782"/>
      <c r="H101" s="782"/>
    </row>
    <row r="102" spans="1:9" s="752" customFormat="1">
      <c r="A102" s="296"/>
      <c r="B102" s="297"/>
      <c r="C102" s="298"/>
      <c r="D102" s="299"/>
      <c r="E102" s="301"/>
    </row>
    <row r="103" spans="1:9" s="752" customFormat="1">
      <c r="A103" s="282"/>
      <c r="B103" s="292" t="s">
        <v>531</v>
      </c>
      <c r="C103" s="286" t="s">
        <v>10</v>
      </c>
      <c r="D103" s="284">
        <v>1</v>
      </c>
      <c r="E103" s="288"/>
      <c r="F103" s="295">
        <f t="shared" ref="F103:F110" si="0">D103*E103</f>
        <v>0</v>
      </c>
    </row>
    <row r="104" spans="1:9" s="752" customFormat="1">
      <c r="A104" s="282"/>
      <c r="B104" s="292" t="s">
        <v>530</v>
      </c>
      <c r="C104" s="286" t="s">
        <v>10</v>
      </c>
      <c r="D104" s="284">
        <v>0</v>
      </c>
      <c r="E104" s="295"/>
      <c r="F104" s="295">
        <f t="shared" si="0"/>
        <v>0</v>
      </c>
    </row>
    <row r="105" spans="1:9" s="752" customFormat="1">
      <c r="A105" s="282"/>
      <c r="B105" s="292" t="s">
        <v>529</v>
      </c>
      <c r="C105" s="286" t="s">
        <v>10</v>
      </c>
      <c r="D105" s="284">
        <v>0</v>
      </c>
      <c r="E105" s="295"/>
      <c r="F105" s="295">
        <f t="shared" si="0"/>
        <v>0</v>
      </c>
    </row>
    <row r="106" spans="1:9" s="752" customFormat="1">
      <c r="A106" s="282"/>
      <c r="B106" s="292" t="s">
        <v>528</v>
      </c>
      <c r="C106" s="286" t="s">
        <v>10</v>
      </c>
      <c r="D106" s="284">
        <v>0</v>
      </c>
      <c r="E106" s="295"/>
      <c r="F106" s="295">
        <f t="shared" si="0"/>
        <v>0</v>
      </c>
    </row>
    <row r="107" spans="1:9" s="752" customFormat="1">
      <c r="A107" s="282"/>
      <c r="B107" s="292" t="s">
        <v>527</v>
      </c>
      <c r="C107" s="286" t="s">
        <v>10</v>
      </c>
      <c r="D107" s="284">
        <v>0</v>
      </c>
      <c r="E107" s="295"/>
      <c r="F107" s="295">
        <f t="shared" si="0"/>
        <v>0</v>
      </c>
    </row>
    <row r="108" spans="1:9" s="752" customFormat="1">
      <c r="A108" s="282"/>
      <c r="B108" s="292" t="s">
        <v>526</v>
      </c>
      <c r="C108" s="286" t="s">
        <v>10</v>
      </c>
      <c r="D108" s="284">
        <v>0</v>
      </c>
      <c r="E108" s="295"/>
      <c r="F108" s="295">
        <f t="shared" si="0"/>
        <v>0</v>
      </c>
    </row>
    <row r="109" spans="1:9" s="752" customFormat="1">
      <c r="A109" s="282"/>
      <c r="B109" s="292" t="s">
        <v>525</v>
      </c>
      <c r="C109" s="286" t="s">
        <v>10</v>
      </c>
      <c r="D109" s="284">
        <v>0</v>
      </c>
      <c r="E109" s="295"/>
      <c r="F109" s="295">
        <f t="shared" si="0"/>
        <v>0</v>
      </c>
    </row>
    <row r="110" spans="1:9" s="752" customFormat="1">
      <c r="A110" s="282"/>
      <c r="B110" s="292" t="s">
        <v>524</v>
      </c>
      <c r="C110" s="286" t="s">
        <v>10</v>
      </c>
      <c r="D110" s="284">
        <v>0</v>
      </c>
      <c r="E110" s="295"/>
      <c r="F110" s="295">
        <f t="shared" si="0"/>
        <v>0</v>
      </c>
    </row>
    <row r="111" spans="1:9" s="752" customFormat="1">
      <c r="A111" s="282"/>
      <c r="B111" s="303"/>
      <c r="C111" s="286"/>
      <c r="D111" s="294"/>
      <c r="E111" s="295"/>
    </row>
    <row r="112" spans="1:9" s="752" customFormat="1" ht="15.75" thickBot="1">
      <c r="A112" s="304"/>
      <c r="B112" s="305" t="s">
        <v>523</v>
      </c>
      <c r="C112" s="306"/>
      <c r="D112" s="307"/>
      <c r="E112" s="306"/>
      <c r="F112" s="749">
        <f>SUM(F103:F110)</f>
        <v>0</v>
      </c>
    </row>
    <row r="113" spans="1:7" ht="15.75" thickTop="1">
      <c r="A113" s="738"/>
      <c r="B113" s="739"/>
      <c r="C113" s="311"/>
      <c r="D113" s="740"/>
      <c r="E113" s="312"/>
      <c r="F113" s="312"/>
      <c r="G113" s="741"/>
    </row>
    <row r="114" spans="1:7">
      <c r="F114" s="783">
        <f>+F112+F96+F84+F67+F21</f>
        <v>0</v>
      </c>
    </row>
    <row r="115" spans="1:7">
      <c r="F115" s="783"/>
    </row>
  </sheetData>
  <sheetProtection algorithmName="SHA-512" hashValue="+RJCCclmq9RqRfNfiMoJQKhKgAaSVlJzrEBq9EKF/X3MDPvKfr2yBrRWPO3YYfFB1FIKrizML2MhqopaY+6YMw==" saltValue="NcDSXKT75BGChl6PWcRZxw==" spinCount="100000" sheet="1" objects="1" scenarios="1" selectLockedCells="1"/>
  <customSheetViews>
    <customSheetView guid="{14FA32B8-8DA0-4B39-A6E2-254F8891DDCC}" scale="69" showPageBreaks="1" view="pageBreakPreview" topLeftCell="A13">
      <selection activeCell="B74" sqref="B74"/>
      <rowBreaks count="2" manualBreakCount="2">
        <brk id="52" max="16383" man="1"/>
        <brk id="85" max="16383" man="1"/>
      </rowBreaks>
      <pageMargins left="0.7" right="0.7" top="0.75" bottom="0.75" header="0.3" footer="0.3"/>
      <pageSetup paperSize="9" scale="68" orientation="portrait" r:id="rId1"/>
      <headerFooter>
        <oddHeader>&amp;CUREDITEV RAFUTSKEGA PARKA Z LAŠČAKOVO VILO - Park&amp;RLUZ, d.d.</oddHeader>
        <oddFooter>&amp;C&amp;P</oddFooter>
      </headerFooter>
    </customSheetView>
  </customSheetViews>
  <mergeCells count="3">
    <mergeCell ref="A3:B3"/>
    <mergeCell ref="A1:F2"/>
    <mergeCell ref="A4:F4"/>
  </mergeCells>
  <pageMargins left="0.7" right="0.7" top="0.75" bottom="0.75" header="0.3" footer="0.3"/>
  <pageSetup paperSize="9" scale="68" orientation="portrait" r:id="rId2"/>
  <headerFooter>
    <oddHeader>&amp;CUREDITEV RAFUTSKEGA PARKA Z LAŠČAKOVO VILO - Park&amp;RLUZ, d.d.</oddHeader>
    <oddFooter>&amp;C&amp;P</oddFooter>
  </headerFooter>
  <rowBreaks count="2" manualBreakCount="2">
    <brk id="52" max="16383" man="1"/>
    <brk id="8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tabColor theme="2" tint="-0.249977111117893"/>
  </sheetPr>
  <dimension ref="A1:I94"/>
  <sheetViews>
    <sheetView view="pageBreakPreview" zoomScale="80" zoomScaleNormal="100" zoomScaleSheetLayoutView="80" workbookViewId="0">
      <pane ySplit="6" topLeftCell="A75" activePane="bottomLeft" state="frozen"/>
      <selection pane="bottomLeft" activeCell="E9" sqref="E9"/>
    </sheetView>
  </sheetViews>
  <sheetFormatPr defaultColWidth="9.140625" defaultRowHeight="15"/>
  <cols>
    <col min="1" max="1" width="10.42578125" style="742" customWidth="1"/>
    <col min="2" max="2" width="75.5703125" style="742" customWidth="1"/>
    <col min="3" max="3" width="6.42578125" style="742" customWidth="1"/>
    <col min="4" max="4" width="9.42578125" style="742" customWidth="1"/>
    <col min="5" max="5" width="11" style="742" customWidth="1"/>
    <col min="6" max="6" width="13.7109375" style="742" customWidth="1"/>
    <col min="7" max="7" width="9.140625" style="742"/>
    <col min="8" max="8" width="9.140625" style="742" customWidth="1"/>
    <col min="9" max="16384" width="9.140625" style="742"/>
  </cols>
  <sheetData>
    <row r="1" spans="1:9" s="571" customFormat="1">
      <c r="A1" s="1355" t="str">
        <f>Info!B1</f>
        <v>UREDITEV RAFUTSKEGA PARKA Z LAŠČAKOVO VILO - Park</v>
      </c>
      <c r="B1" s="1356"/>
      <c r="C1" s="1356"/>
      <c r="D1" s="1356"/>
      <c r="E1" s="1356"/>
      <c r="F1" s="1357"/>
    </row>
    <row r="2" spans="1:9" s="571" customFormat="1" ht="15.75" thickBot="1">
      <c r="A2" s="1358"/>
      <c r="B2" s="1359"/>
      <c r="C2" s="1359"/>
      <c r="D2" s="1359"/>
      <c r="E2" s="1359"/>
      <c r="F2" s="1360"/>
    </row>
    <row r="3" spans="1:9" s="571" customFormat="1" ht="15.75" thickBot="1">
      <c r="A3" s="1361"/>
      <c r="B3" s="1362"/>
      <c r="C3" s="5"/>
      <c r="D3" s="572"/>
      <c r="E3" s="573"/>
      <c r="F3" s="574"/>
    </row>
    <row r="4" spans="1:9" s="571" customFormat="1" ht="17.25">
      <c r="A4" s="1373" t="s">
        <v>633</v>
      </c>
      <c r="B4" s="1374"/>
      <c r="C4" s="1374"/>
      <c r="D4" s="1374"/>
      <c r="E4" s="1374"/>
      <c r="F4" s="1375"/>
    </row>
    <row r="5" spans="1:9" s="571" customFormat="1">
      <c r="A5" s="577"/>
      <c r="B5" s="578"/>
      <c r="C5" s="579"/>
      <c r="D5" s="579"/>
      <c r="E5" s="580"/>
      <c r="F5" s="580"/>
    </row>
    <row r="6" spans="1:9" s="571" customFormat="1" ht="85.5">
      <c r="A6" s="582" t="s">
        <v>1</v>
      </c>
      <c r="B6" s="583" t="s">
        <v>2</v>
      </c>
      <c r="C6" s="584" t="s">
        <v>4</v>
      </c>
      <c r="D6" s="585" t="s">
        <v>9</v>
      </c>
      <c r="E6" s="586" t="s">
        <v>5</v>
      </c>
      <c r="F6" s="588" t="s">
        <v>1612</v>
      </c>
    </row>
    <row r="7" spans="1:9" ht="15.75" thickBot="1">
      <c r="A7" s="738"/>
      <c r="B7" s="739"/>
      <c r="C7" s="311"/>
      <c r="D7" s="740"/>
      <c r="E7" s="312"/>
      <c r="F7" s="312"/>
      <c r="G7" s="741"/>
    </row>
    <row r="8" spans="1:9" s="571" customFormat="1" ht="17.25">
      <c r="A8" s="784" t="s">
        <v>632</v>
      </c>
      <c r="B8" s="784" t="s">
        <v>170</v>
      </c>
      <c r="C8" s="785"/>
      <c r="D8" s="786"/>
      <c r="E8" s="787"/>
      <c r="F8" s="788"/>
    </row>
    <row r="9" spans="1:9" s="744" customFormat="1" ht="26.25">
      <c r="A9" s="282" t="s">
        <v>597</v>
      </c>
      <c r="B9" s="285" t="s">
        <v>596</v>
      </c>
      <c r="C9" s="286" t="s">
        <v>543</v>
      </c>
      <c r="D9" s="743">
        <v>32.22</v>
      </c>
      <c r="E9" s="293"/>
      <c r="F9" s="295">
        <f>D9*E9</f>
        <v>0</v>
      </c>
      <c r="H9" s="287"/>
      <c r="I9" s="287"/>
    </row>
    <row r="10" spans="1:9" s="744" customFormat="1">
      <c r="A10" s="282"/>
      <c r="B10" s="285"/>
      <c r="C10" s="286"/>
      <c r="D10" s="284"/>
      <c r="E10" s="295"/>
      <c r="F10" s="295"/>
      <c r="H10" s="287"/>
      <c r="I10" s="287"/>
    </row>
    <row r="11" spans="1:9" s="744" customFormat="1" ht="26.25">
      <c r="A11" s="282" t="s">
        <v>595</v>
      </c>
      <c r="B11" s="285" t="s">
        <v>594</v>
      </c>
      <c r="C11" s="286" t="s">
        <v>549</v>
      </c>
      <c r="D11" s="284">
        <v>2</v>
      </c>
      <c r="E11" s="293"/>
      <c r="F11" s="295">
        <f>D11*E11</f>
        <v>0</v>
      </c>
      <c r="H11" s="287"/>
      <c r="I11" s="287"/>
    </row>
    <row r="12" spans="1:9" s="744" customFormat="1">
      <c r="A12" s="282"/>
      <c r="B12" s="285"/>
      <c r="C12" s="286"/>
      <c r="D12" s="284"/>
      <c r="E12" s="295"/>
      <c r="F12" s="295"/>
      <c r="H12" s="287"/>
      <c r="I12" s="287"/>
    </row>
    <row r="13" spans="1:9" s="744" customFormat="1" ht="26.25">
      <c r="A13" s="282" t="s">
        <v>593</v>
      </c>
      <c r="B13" s="285" t="s">
        <v>1422</v>
      </c>
      <c r="C13" s="286" t="s">
        <v>70</v>
      </c>
      <c r="D13" s="743">
        <v>32.22</v>
      </c>
      <c r="E13" s="293"/>
      <c r="F13" s="295">
        <f>D13*E13</f>
        <v>0</v>
      </c>
      <c r="H13" s="287"/>
      <c r="I13" s="287"/>
    </row>
    <row r="14" spans="1:9" s="744" customFormat="1">
      <c r="A14" s="282"/>
      <c r="B14" s="285"/>
      <c r="C14" s="286"/>
      <c r="D14" s="284"/>
      <c r="E14" s="734"/>
      <c r="F14" s="295"/>
      <c r="H14" s="287"/>
      <c r="I14" s="287"/>
    </row>
    <row r="15" spans="1:9" s="744" customFormat="1" ht="26.25">
      <c r="A15" s="282" t="s">
        <v>592</v>
      </c>
      <c r="B15" s="285" t="s">
        <v>590</v>
      </c>
      <c r="C15" s="286" t="s">
        <v>549</v>
      </c>
      <c r="D15" s="284">
        <v>1</v>
      </c>
      <c r="E15" s="293"/>
      <c r="F15" s="295">
        <f>D15*E15</f>
        <v>0</v>
      </c>
      <c r="H15" s="287"/>
      <c r="I15" s="287"/>
    </row>
    <row r="16" spans="1:9" s="744" customFormat="1">
      <c r="A16" s="282"/>
      <c r="B16" s="285"/>
      <c r="C16" s="286"/>
      <c r="D16" s="284"/>
      <c r="E16" s="734"/>
      <c r="F16" s="295"/>
      <c r="H16" s="287"/>
      <c r="I16" s="287"/>
    </row>
    <row r="17" spans="1:9" s="744" customFormat="1" ht="39">
      <c r="A17" s="282" t="s">
        <v>591</v>
      </c>
      <c r="B17" s="283" t="s">
        <v>616</v>
      </c>
      <c r="C17" s="289"/>
      <c r="D17" s="289"/>
      <c r="E17" s="289"/>
      <c r="F17" s="295"/>
      <c r="H17" s="287"/>
      <c r="I17" s="287"/>
    </row>
    <row r="18" spans="1:9" s="744" customFormat="1">
      <c r="A18" s="282"/>
      <c r="B18" s="285" t="s">
        <v>586</v>
      </c>
      <c r="C18" s="290" t="s">
        <v>70</v>
      </c>
      <c r="D18" s="743">
        <v>32.22</v>
      </c>
      <c r="E18" s="293"/>
      <c r="F18" s="295">
        <f>D18*E18</f>
        <v>0</v>
      </c>
      <c r="H18" s="287"/>
      <c r="I18" s="287"/>
    </row>
    <row r="19" spans="1:9" s="744" customFormat="1">
      <c r="A19" s="282"/>
      <c r="B19" s="285" t="s">
        <v>585</v>
      </c>
      <c r="C19" s="290" t="s">
        <v>70</v>
      </c>
      <c r="D19" s="743">
        <v>32.22</v>
      </c>
      <c r="E19" s="293"/>
      <c r="F19" s="295">
        <f>D19*E19</f>
        <v>0</v>
      </c>
      <c r="H19" s="287"/>
      <c r="I19" s="287"/>
    </row>
    <row r="20" spans="1:9" s="744" customFormat="1">
      <c r="A20" s="303"/>
      <c r="B20" s="287"/>
      <c r="C20" s="287"/>
      <c r="D20" s="287"/>
      <c r="E20" s="734"/>
      <c r="F20" s="287"/>
      <c r="H20" s="287"/>
      <c r="I20" s="287"/>
    </row>
    <row r="21" spans="1:9" s="744" customFormat="1" ht="15.75" thickBot="1">
      <c r="A21" s="745"/>
      <c r="B21" s="305" t="s">
        <v>579</v>
      </c>
      <c r="C21" s="746"/>
      <c r="D21" s="747"/>
      <c r="E21" s="748"/>
      <c r="F21" s="749">
        <f>SUM(F9:F20)</f>
        <v>0</v>
      </c>
      <c r="H21" s="287"/>
      <c r="I21" s="287"/>
    </row>
    <row r="22" spans="1:9" s="744" customFormat="1" ht="15.75" thickTop="1">
      <c r="A22" s="296"/>
      <c r="B22" s="297"/>
      <c r="C22" s="298"/>
      <c r="D22" s="299"/>
      <c r="E22" s="300"/>
      <c r="F22" s="301"/>
      <c r="H22" s="287"/>
      <c r="I22" s="287"/>
    </row>
    <row r="23" spans="1:9" s="752" customFormat="1">
      <c r="A23" s="738"/>
      <c r="B23" s="741"/>
      <c r="C23" s="750"/>
      <c r="D23" s="751"/>
      <c r="E23" s="312"/>
      <c r="F23" s="312"/>
      <c r="H23" s="741"/>
      <c r="I23" s="741"/>
    </row>
    <row r="24" spans="1:9" s="752" customFormat="1" ht="15.75">
      <c r="A24" s="753" t="s">
        <v>578</v>
      </c>
      <c r="B24" s="753" t="s">
        <v>171</v>
      </c>
      <c r="C24" s="311"/>
      <c r="D24" s="740"/>
      <c r="E24" s="312"/>
      <c r="F24" s="312"/>
      <c r="H24" s="741"/>
      <c r="I24" s="741"/>
    </row>
    <row r="25" spans="1:9" s="752" customFormat="1" ht="15.75">
      <c r="A25" s="753"/>
      <c r="B25" s="753"/>
      <c r="C25" s="311"/>
      <c r="D25" s="740"/>
      <c r="E25" s="312"/>
      <c r="F25" s="312"/>
      <c r="H25" s="741"/>
      <c r="I25" s="741"/>
    </row>
    <row r="26" spans="1:9" s="752" customFormat="1" ht="15.75">
      <c r="A26" s="753"/>
      <c r="B26" s="753" t="s">
        <v>615</v>
      </c>
      <c r="C26" s="311"/>
      <c r="D26" s="740"/>
      <c r="E26" s="312"/>
      <c r="F26" s="312"/>
      <c r="H26" s="741"/>
      <c r="I26" s="741"/>
    </row>
    <row r="27" spans="1:9" s="752" customFormat="1" ht="26.25">
      <c r="A27" s="753"/>
      <c r="B27" s="285" t="s">
        <v>614</v>
      </c>
      <c r="C27" s="311"/>
      <c r="D27" s="740"/>
      <c r="E27" s="312"/>
      <c r="F27" s="312"/>
      <c r="H27" s="741"/>
      <c r="I27" s="741"/>
    </row>
    <row r="28" spans="1:9" s="752" customFormat="1" ht="15.75">
      <c r="A28" s="753"/>
      <c r="B28" s="285" t="s">
        <v>613</v>
      </c>
      <c r="C28" s="311"/>
      <c r="D28" s="740"/>
      <c r="E28" s="312"/>
      <c r="F28" s="312"/>
      <c r="H28" s="741"/>
      <c r="I28" s="741"/>
    </row>
    <row r="29" spans="1:9" s="752" customFormat="1" ht="15.75">
      <c r="A29" s="753"/>
      <c r="B29" s="285"/>
      <c r="C29" s="311"/>
      <c r="D29" s="740"/>
      <c r="E29" s="312"/>
      <c r="F29" s="312"/>
      <c r="H29" s="741"/>
      <c r="I29" s="741"/>
    </row>
    <row r="30" spans="1:9" s="752" customFormat="1" ht="15.75">
      <c r="A30" s="753"/>
      <c r="B30" s="285"/>
      <c r="C30" s="311"/>
      <c r="D30" s="740"/>
      <c r="E30" s="312"/>
      <c r="F30" s="312"/>
      <c r="H30" s="741"/>
      <c r="I30" s="741"/>
    </row>
    <row r="31" spans="1:9" s="752" customFormat="1" ht="25.5">
      <c r="A31" s="282" t="s">
        <v>573</v>
      </c>
      <c r="B31" s="316" t="s">
        <v>612</v>
      </c>
      <c r="C31" s="298" t="s">
        <v>11</v>
      </c>
      <c r="D31" s="743">
        <f>32.22-4</f>
        <v>28.22</v>
      </c>
      <c r="E31" s="737"/>
      <c r="F31" s="317">
        <f>D31*E31</f>
        <v>0</v>
      </c>
      <c r="H31" s="741"/>
      <c r="I31" s="741"/>
    </row>
    <row r="32" spans="1:9" s="752" customFormat="1" ht="15.75">
      <c r="A32" s="753"/>
      <c r="B32" s="285"/>
      <c r="C32" s="311"/>
      <c r="D32" s="740"/>
      <c r="E32" s="312"/>
      <c r="F32" s="312"/>
      <c r="H32" s="741"/>
      <c r="I32" s="741"/>
    </row>
    <row r="33" spans="1:9" s="752" customFormat="1" ht="26.25">
      <c r="A33" s="738" t="s">
        <v>571</v>
      </c>
      <c r="B33" s="285" t="s">
        <v>572</v>
      </c>
      <c r="C33" s="286" t="s">
        <v>11</v>
      </c>
      <c r="D33" s="294">
        <v>4</v>
      </c>
      <c r="E33" s="288"/>
      <c r="F33" s="295">
        <f>D33*E33</f>
        <v>0</v>
      </c>
      <c r="H33" s="741"/>
      <c r="I33" s="741"/>
    </row>
    <row r="34" spans="1:9" s="752" customFormat="1" ht="15.75">
      <c r="A34" s="738"/>
      <c r="B34" s="753"/>
      <c r="C34" s="311"/>
      <c r="D34" s="740"/>
      <c r="E34" s="312"/>
      <c r="F34" s="312"/>
      <c r="H34" s="741"/>
      <c r="I34" s="741"/>
    </row>
    <row r="35" spans="1:9" s="752" customFormat="1" ht="39">
      <c r="A35" s="738" t="s">
        <v>570</v>
      </c>
      <c r="B35" s="754" t="s">
        <v>611</v>
      </c>
      <c r="C35" s="311" t="s">
        <v>40</v>
      </c>
      <c r="D35" s="755">
        <f>76.48*0.9</f>
        <v>68.832000000000008</v>
      </c>
      <c r="E35" s="733"/>
      <c r="F35" s="312">
        <f>D35*E35</f>
        <v>0</v>
      </c>
      <c r="H35" s="741"/>
      <c r="I35" s="741"/>
    </row>
    <row r="36" spans="1:9" s="752" customFormat="1">
      <c r="A36" s="757"/>
      <c r="B36" s="754"/>
      <c r="C36" s="311"/>
      <c r="D36" s="755"/>
      <c r="E36" s="756"/>
      <c r="F36" s="312"/>
      <c r="H36" s="741"/>
      <c r="I36" s="741"/>
    </row>
    <row r="37" spans="1:9" s="752" customFormat="1" ht="39">
      <c r="A37" s="738" t="s">
        <v>568</v>
      </c>
      <c r="B37" s="754" t="s">
        <v>569</v>
      </c>
      <c r="C37" s="311" t="s">
        <v>40</v>
      </c>
      <c r="D37" s="755">
        <f>76.48*0.1</f>
        <v>7.6480000000000006</v>
      </c>
      <c r="E37" s="733"/>
      <c r="F37" s="312">
        <f>D37*E37</f>
        <v>0</v>
      </c>
      <c r="H37" s="741"/>
      <c r="I37" s="741"/>
    </row>
    <row r="38" spans="1:9" s="752" customFormat="1">
      <c r="A38" s="738"/>
      <c r="B38" s="754"/>
      <c r="C38" s="311"/>
      <c r="D38" s="755"/>
      <c r="E38" s="756"/>
      <c r="F38" s="312"/>
      <c r="H38" s="741"/>
      <c r="I38" s="741"/>
    </row>
    <row r="39" spans="1:9" s="752" customFormat="1" ht="39">
      <c r="A39" s="282" t="s">
        <v>565</v>
      </c>
      <c r="B39" s="283" t="s">
        <v>610</v>
      </c>
      <c r="C39" s="286" t="s">
        <v>40</v>
      </c>
      <c r="D39" s="758">
        <v>4.74</v>
      </c>
      <c r="E39" s="293"/>
      <c r="F39" s="295">
        <f>D39*E39</f>
        <v>0</v>
      </c>
      <c r="H39" s="741"/>
      <c r="I39" s="741"/>
    </row>
    <row r="40" spans="1:9" s="752" customFormat="1">
      <c r="A40" s="282"/>
      <c r="B40" s="283"/>
      <c r="C40" s="286"/>
      <c r="D40" s="758"/>
      <c r="E40" s="734"/>
      <c r="F40" s="295"/>
      <c r="H40" s="741"/>
      <c r="I40" s="741"/>
    </row>
    <row r="41" spans="1:9" s="752" customFormat="1" ht="39">
      <c r="A41" s="282" t="s">
        <v>563</v>
      </c>
      <c r="B41" s="292" t="s">
        <v>609</v>
      </c>
      <c r="C41" s="286" t="s">
        <v>70</v>
      </c>
      <c r="D41" s="284">
        <v>5</v>
      </c>
      <c r="E41" s="293"/>
      <c r="F41" s="295">
        <f>D41*E41</f>
        <v>0</v>
      </c>
      <c r="H41" s="741"/>
      <c r="I41" s="741"/>
    </row>
    <row r="42" spans="1:9" s="752" customFormat="1">
      <c r="A42" s="282"/>
      <c r="B42" s="292"/>
      <c r="C42" s="286"/>
      <c r="D42" s="284"/>
      <c r="E42" s="295"/>
      <c r="F42" s="312"/>
      <c r="H42" s="741"/>
      <c r="I42" s="741"/>
    </row>
    <row r="43" spans="1:9" s="752" customFormat="1" ht="26.25">
      <c r="A43" s="738" t="s">
        <v>561</v>
      </c>
      <c r="B43" s="759" t="s">
        <v>567</v>
      </c>
      <c r="C43" s="311" t="s">
        <v>566</v>
      </c>
      <c r="D43" s="743">
        <v>32.22</v>
      </c>
      <c r="E43" s="733"/>
      <c r="F43" s="312">
        <f>D43*E43</f>
        <v>0</v>
      </c>
      <c r="H43" s="741"/>
      <c r="I43" s="741"/>
    </row>
    <row r="44" spans="1:9" s="752" customFormat="1">
      <c r="A44" s="760"/>
      <c r="B44" s="759"/>
      <c r="C44" s="311"/>
      <c r="D44" s="743"/>
      <c r="E44" s="756"/>
      <c r="F44" s="312"/>
      <c r="H44" s="741"/>
      <c r="I44" s="741"/>
    </row>
    <row r="45" spans="1:9" s="752" customFormat="1" ht="39">
      <c r="A45" s="738" t="s">
        <v>559</v>
      </c>
      <c r="B45" s="759" t="s">
        <v>564</v>
      </c>
      <c r="C45" s="311" t="s">
        <v>40</v>
      </c>
      <c r="D45" s="743">
        <v>3.17</v>
      </c>
      <c r="E45" s="733"/>
      <c r="F45" s="312">
        <f>D45*E45</f>
        <v>0</v>
      </c>
      <c r="H45" s="741"/>
      <c r="I45" s="741"/>
    </row>
    <row r="46" spans="1:9" s="752" customFormat="1">
      <c r="A46" s="757"/>
      <c r="B46" s="761"/>
      <c r="C46" s="311"/>
      <c r="D46" s="743"/>
      <c r="E46" s="312"/>
      <c r="F46" s="312"/>
      <c r="H46" s="741"/>
      <c r="I46" s="741"/>
    </row>
    <row r="47" spans="1:9" s="752" customFormat="1" ht="51.75">
      <c r="A47" s="738" t="s">
        <v>557</v>
      </c>
      <c r="B47" s="762" t="s">
        <v>562</v>
      </c>
      <c r="C47" s="311" t="s">
        <v>40</v>
      </c>
      <c r="D47" s="763">
        <v>12.19</v>
      </c>
      <c r="E47" s="733"/>
      <c r="F47" s="312">
        <f>D47*E47</f>
        <v>0</v>
      </c>
      <c r="H47" s="741"/>
      <c r="I47" s="741"/>
    </row>
    <row r="48" spans="1:9" s="752" customFormat="1">
      <c r="A48" s="738"/>
      <c r="B48" s="762"/>
      <c r="C48" s="311"/>
      <c r="D48" s="763"/>
      <c r="E48" s="756"/>
      <c r="F48" s="312"/>
      <c r="H48" s="741"/>
      <c r="I48" s="741"/>
    </row>
    <row r="49" spans="1:9" s="752" customFormat="1" ht="26.25">
      <c r="A49" s="738" t="s">
        <v>555</v>
      </c>
      <c r="B49" s="754" t="s">
        <v>560</v>
      </c>
      <c r="C49" s="311" t="s">
        <v>40</v>
      </c>
      <c r="D49" s="743">
        <v>59.32</v>
      </c>
      <c r="E49" s="733"/>
      <c r="F49" s="312">
        <f>D49*E49</f>
        <v>0</v>
      </c>
      <c r="H49" s="741"/>
      <c r="I49" s="741"/>
    </row>
    <row r="50" spans="1:9" s="752" customFormat="1">
      <c r="A50" s="738"/>
      <c r="B50" s="754"/>
      <c r="C50" s="311"/>
      <c r="D50" s="743"/>
      <c r="E50" s="756"/>
      <c r="F50" s="312"/>
      <c r="H50" s="741"/>
      <c r="I50" s="741"/>
    </row>
    <row r="51" spans="1:9" s="752" customFormat="1" ht="26.25">
      <c r="A51" s="282" t="s">
        <v>608</v>
      </c>
      <c r="B51" s="754" t="s">
        <v>607</v>
      </c>
      <c r="C51" s="311" t="s">
        <v>40</v>
      </c>
      <c r="D51" s="743">
        <v>15.36</v>
      </c>
      <c r="E51" s="733"/>
      <c r="F51" s="312">
        <f>D51*E51</f>
        <v>0</v>
      </c>
      <c r="H51" s="741"/>
      <c r="I51" s="741"/>
    </row>
    <row r="52" spans="1:9" s="752" customFormat="1">
      <c r="A52" s="757"/>
      <c r="B52" s="754"/>
      <c r="C52" s="311"/>
      <c r="D52" s="743"/>
      <c r="E52" s="756"/>
      <c r="F52" s="312"/>
      <c r="H52" s="741"/>
      <c r="I52" s="741"/>
    </row>
    <row r="53" spans="1:9" s="752" customFormat="1">
      <c r="A53" s="738" t="s">
        <v>606</v>
      </c>
      <c r="B53" s="292" t="s">
        <v>556</v>
      </c>
      <c r="C53" s="286" t="s">
        <v>116</v>
      </c>
      <c r="D53" s="743">
        <v>4</v>
      </c>
      <c r="E53" s="293"/>
      <c r="F53" s="295">
        <f>D53*E53</f>
        <v>0</v>
      </c>
      <c r="H53" s="741"/>
      <c r="I53" s="741"/>
    </row>
    <row r="54" spans="1:9" s="752" customFormat="1">
      <c r="A54" s="757"/>
      <c r="B54" s="759"/>
      <c r="C54" s="311"/>
      <c r="D54" s="740"/>
      <c r="E54" s="312"/>
      <c r="F54" s="312"/>
      <c r="H54" s="741"/>
      <c r="I54" s="741"/>
    </row>
    <row r="55" spans="1:9" s="752" customFormat="1" ht="15.75" thickBot="1">
      <c r="A55" s="765"/>
      <c r="B55" s="766" t="s">
        <v>554</v>
      </c>
      <c r="C55" s="163"/>
      <c r="D55" s="162"/>
      <c r="E55" s="161"/>
      <c r="F55" s="749">
        <f>SUM(F29:F53)</f>
        <v>0</v>
      </c>
      <c r="H55" s="741"/>
      <c r="I55" s="741"/>
    </row>
    <row r="56" spans="1:9" s="752" customFormat="1" ht="15.75" thickTop="1">
      <c r="A56" s="738"/>
      <c r="B56" s="767"/>
      <c r="C56" s="768"/>
      <c r="D56" s="769"/>
      <c r="E56" s="770"/>
      <c r="F56" s="771"/>
      <c r="H56" s="741"/>
      <c r="I56" s="741"/>
    </row>
    <row r="57" spans="1:9" s="752" customFormat="1">
      <c r="A57" s="772"/>
      <c r="B57" s="292"/>
      <c r="C57" s="768"/>
      <c r="D57" s="769"/>
      <c r="E57" s="770"/>
      <c r="F57" s="771"/>
      <c r="H57" s="741"/>
      <c r="I57" s="741"/>
    </row>
    <row r="58" spans="1:9" s="752" customFormat="1" ht="15.75">
      <c r="A58" s="753" t="s">
        <v>553</v>
      </c>
      <c r="B58" s="753" t="s">
        <v>100</v>
      </c>
      <c r="C58" s="311"/>
      <c r="D58" s="740"/>
      <c r="E58" s="312"/>
      <c r="F58" s="312"/>
      <c r="H58" s="741"/>
      <c r="I58" s="741"/>
    </row>
    <row r="59" spans="1:9" s="752" customFormat="1" ht="15.75">
      <c r="A59" s="753"/>
      <c r="B59" s="753"/>
      <c r="C59" s="311"/>
      <c r="D59" s="740"/>
      <c r="E59" s="312"/>
      <c r="F59" s="312"/>
      <c r="H59" s="741"/>
      <c r="I59" s="741"/>
    </row>
    <row r="60" spans="1:9" s="752" customFormat="1" ht="26.25">
      <c r="A60" s="738"/>
      <c r="B60" s="773" t="s">
        <v>1593</v>
      </c>
      <c r="C60" s="311"/>
      <c r="D60" s="743"/>
      <c r="E60" s="312"/>
      <c r="F60" s="312"/>
      <c r="H60" s="741"/>
      <c r="I60" s="741"/>
    </row>
    <row r="61" spans="1:9" s="752" customFormat="1">
      <c r="A61" s="738"/>
      <c r="B61" s="773"/>
      <c r="C61" s="311"/>
      <c r="D61" s="743"/>
      <c r="E61" s="312"/>
      <c r="F61" s="312"/>
      <c r="H61" s="741"/>
      <c r="I61" s="741"/>
    </row>
    <row r="62" spans="1:9" s="752" customFormat="1" ht="77.25">
      <c r="A62" s="738" t="s">
        <v>552</v>
      </c>
      <c r="B62" s="773" t="s">
        <v>1437</v>
      </c>
      <c r="C62" s="311" t="s">
        <v>10</v>
      </c>
      <c r="D62" s="743">
        <v>1</v>
      </c>
      <c r="E62" s="735"/>
      <c r="F62" s="312">
        <f>D62*E62</f>
        <v>0</v>
      </c>
      <c r="H62" s="741"/>
      <c r="I62" s="741"/>
    </row>
    <row r="63" spans="1:9" s="752" customFormat="1">
      <c r="A63" s="738"/>
      <c r="B63" s="739"/>
      <c r="C63" s="311"/>
      <c r="D63" s="740"/>
      <c r="E63" s="312"/>
      <c r="F63" s="312"/>
      <c r="H63" s="741"/>
      <c r="I63" s="741"/>
    </row>
    <row r="64" spans="1:9" s="752" customFormat="1" ht="15.75" thickBot="1">
      <c r="A64" s="765"/>
      <c r="B64" s="766" t="s">
        <v>548</v>
      </c>
      <c r="C64" s="163"/>
      <c r="D64" s="162"/>
      <c r="E64" s="161"/>
      <c r="F64" s="749">
        <f>SUM(F62:F62)</f>
        <v>0</v>
      </c>
      <c r="H64" s="741"/>
      <c r="I64" s="741"/>
    </row>
    <row r="65" spans="1:9" s="752" customFormat="1" ht="15.75" thickTop="1">
      <c r="A65" s="772"/>
      <c r="B65" s="767"/>
      <c r="C65" s="768"/>
      <c r="D65" s="769"/>
      <c r="E65" s="770"/>
      <c r="F65" s="771"/>
      <c r="H65" s="741"/>
      <c r="I65" s="741"/>
    </row>
    <row r="66" spans="1:9" s="752" customFormat="1" ht="15.75">
      <c r="A66" s="753" t="s">
        <v>547</v>
      </c>
      <c r="B66" s="753" t="s">
        <v>546</v>
      </c>
      <c r="C66" s="311"/>
      <c r="D66" s="740"/>
      <c r="E66" s="312"/>
      <c r="F66" s="312"/>
      <c r="H66" s="741"/>
      <c r="I66" s="741"/>
    </row>
    <row r="67" spans="1:9" s="752" customFormat="1">
      <c r="A67" s="738"/>
      <c r="B67" s="739"/>
      <c r="C67" s="311"/>
      <c r="D67" s="740"/>
      <c r="E67" s="312"/>
      <c r="F67" s="312"/>
      <c r="H67" s="741"/>
      <c r="I67" s="741"/>
    </row>
    <row r="68" spans="1:9" s="752" customFormat="1" ht="39">
      <c r="A68" s="738" t="s">
        <v>545</v>
      </c>
      <c r="B68" s="292" t="s">
        <v>544</v>
      </c>
      <c r="C68" s="286" t="s">
        <v>543</v>
      </c>
      <c r="D68" s="743">
        <v>32.22</v>
      </c>
      <c r="E68" s="736"/>
      <c r="F68" s="312">
        <f>D68*E68</f>
        <v>0</v>
      </c>
      <c r="H68" s="741"/>
      <c r="I68" s="741"/>
    </row>
    <row r="69" spans="1:9" s="752" customFormat="1">
      <c r="A69" s="738"/>
      <c r="B69" s="759"/>
      <c r="C69" s="311"/>
      <c r="D69" s="743"/>
      <c r="E69" s="756"/>
      <c r="F69" s="312"/>
      <c r="H69" s="741"/>
      <c r="I69" s="741"/>
    </row>
    <row r="70" spans="1:9" s="752" customFormat="1">
      <c r="A70" s="282" t="s">
        <v>542</v>
      </c>
      <c r="B70" s="292" t="s">
        <v>541</v>
      </c>
      <c r="C70" s="286" t="s">
        <v>70</v>
      </c>
      <c r="D70" s="743">
        <v>32.22</v>
      </c>
      <c r="E70" s="293"/>
      <c r="F70" s="295">
        <f>D70*E70</f>
        <v>0</v>
      </c>
      <c r="H70" s="741"/>
      <c r="I70" s="741"/>
    </row>
    <row r="71" spans="1:9" s="752" customFormat="1">
      <c r="A71" s="296"/>
      <c r="B71" s="297"/>
      <c r="C71" s="298"/>
      <c r="D71" s="299"/>
      <c r="E71" s="300"/>
      <c r="F71" s="301"/>
      <c r="H71" s="741"/>
      <c r="I71" s="741"/>
    </row>
    <row r="72" spans="1:9" s="752" customFormat="1" ht="26.25">
      <c r="A72" s="282" t="s">
        <v>540</v>
      </c>
      <c r="B72" s="292" t="s">
        <v>539</v>
      </c>
      <c r="C72" s="286" t="s">
        <v>70</v>
      </c>
      <c r="D72" s="743">
        <v>32.22</v>
      </c>
      <c r="E72" s="293"/>
      <c r="F72" s="295">
        <f>E72*D72</f>
        <v>0</v>
      </c>
      <c r="H72" s="741"/>
      <c r="I72" s="741"/>
    </row>
    <row r="73" spans="1:9" s="752" customFormat="1">
      <c r="A73" s="282"/>
      <c r="B73" s="292"/>
      <c r="C73" s="286"/>
      <c r="D73" s="284"/>
      <c r="E73" s="734"/>
      <c r="F73" s="295"/>
      <c r="H73" s="741"/>
      <c r="I73" s="741"/>
    </row>
    <row r="74" spans="1:9" s="752" customFormat="1">
      <c r="A74" s="282" t="s">
        <v>538</v>
      </c>
      <c r="B74" s="292" t="s">
        <v>537</v>
      </c>
      <c r="C74" s="286" t="s">
        <v>70</v>
      </c>
      <c r="D74" s="743">
        <v>32.22</v>
      </c>
      <c r="E74" s="293"/>
      <c r="F74" s="295">
        <f>D74*E74</f>
        <v>0</v>
      </c>
      <c r="H74" s="741"/>
      <c r="I74" s="741"/>
    </row>
    <row r="75" spans="1:9" s="752" customFormat="1">
      <c r="A75" s="738"/>
      <c r="B75" s="739"/>
      <c r="C75" s="311"/>
      <c r="D75" s="740"/>
      <c r="E75" s="312"/>
      <c r="F75" s="312"/>
      <c r="H75" s="741"/>
      <c r="I75" s="741"/>
    </row>
    <row r="76" spans="1:9" s="752" customFormat="1" ht="15.75" thickBot="1">
      <c r="A76" s="775"/>
      <c r="B76" s="766" t="s">
        <v>536</v>
      </c>
      <c r="C76" s="776"/>
      <c r="D76" s="777"/>
      <c r="E76" s="778"/>
      <c r="F76" s="749">
        <f>SUM(F68:F74)</f>
        <v>0</v>
      </c>
      <c r="H76" s="741"/>
      <c r="I76" s="741"/>
    </row>
    <row r="77" spans="1:9" s="752" customFormat="1" ht="15.75" thickTop="1">
      <c r="A77" s="779"/>
      <c r="B77" s="767"/>
      <c r="C77" s="780"/>
      <c r="D77" s="781"/>
      <c r="E77" s="771"/>
      <c r="F77" s="771"/>
      <c r="H77" s="741"/>
      <c r="I77" s="741"/>
    </row>
    <row r="78" spans="1:9" s="752" customFormat="1">
      <c r="A78" s="779"/>
      <c r="B78" s="767"/>
      <c r="C78" s="780"/>
      <c r="D78" s="781"/>
      <c r="E78" s="771"/>
      <c r="F78" s="771"/>
      <c r="H78" s="741"/>
      <c r="I78" s="741"/>
    </row>
    <row r="79" spans="1:9" s="752" customFormat="1" ht="15.75">
      <c r="A79" s="302" t="s">
        <v>535</v>
      </c>
      <c r="B79" s="302" t="s">
        <v>534</v>
      </c>
      <c r="C79" s="286"/>
      <c r="D79" s="294"/>
      <c r="E79" s="295"/>
      <c r="F79" s="782"/>
      <c r="H79" s="782"/>
    </row>
    <row r="80" spans="1:9" s="752" customFormat="1">
      <c r="A80" s="282"/>
      <c r="B80" s="303"/>
      <c r="C80" s="286"/>
      <c r="D80" s="294"/>
      <c r="E80" s="295"/>
      <c r="F80" s="782"/>
      <c r="H80" s="782"/>
    </row>
    <row r="81" spans="1:8" s="752" customFormat="1">
      <c r="A81" s="282" t="s">
        <v>533</v>
      </c>
      <c r="B81" s="292" t="s">
        <v>532</v>
      </c>
      <c r="C81" s="286"/>
      <c r="D81" s="284"/>
      <c r="E81" s="295"/>
      <c r="F81" s="782"/>
      <c r="H81" s="782"/>
    </row>
    <row r="82" spans="1:8" s="752" customFormat="1">
      <c r="A82" s="296"/>
      <c r="B82" s="297"/>
      <c r="C82" s="298"/>
      <c r="D82" s="299"/>
      <c r="E82" s="301"/>
    </row>
    <row r="83" spans="1:8" s="752" customFormat="1">
      <c r="A83" s="282"/>
      <c r="B83" s="292" t="s">
        <v>531</v>
      </c>
      <c r="C83" s="286" t="s">
        <v>10</v>
      </c>
      <c r="D83" s="284">
        <v>1</v>
      </c>
      <c r="E83" s="288"/>
      <c r="F83" s="295">
        <f t="shared" ref="F83:F90" si="0">D83*E83</f>
        <v>0</v>
      </c>
    </row>
    <row r="84" spans="1:8" s="752" customFormat="1">
      <c r="A84" s="282"/>
      <c r="B84" s="292" t="s">
        <v>530</v>
      </c>
      <c r="C84" s="286" t="s">
        <v>10</v>
      </c>
      <c r="D84" s="284">
        <v>1</v>
      </c>
      <c r="E84" s="288"/>
      <c r="F84" s="295">
        <f t="shared" si="0"/>
        <v>0</v>
      </c>
    </row>
    <row r="85" spans="1:8" s="752" customFormat="1">
      <c r="A85" s="282"/>
      <c r="B85" s="292" t="s">
        <v>529</v>
      </c>
      <c r="C85" s="286" t="s">
        <v>10</v>
      </c>
      <c r="D85" s="284">
        <v>1</v>
      </c>
      <c r="E85" s="288"/>
      <c r="F85" s="295">
        <f t="shared" si="0"/>
        <v>0</v>
      </c>
    </row>
    <row r="86" spans="1:8" s="752" customFormat="1">
      <c r="A86" s="282"/>
      <c r="B86" s="292" t="s">
        <v>528</v>
      </c>
      <c r="C86" s="286" t="s">
        <v>10</v>
      </c>
      <c r="D86" s="284">
        <v>1</v>
      </c>
      <c r="E86" s="288"/>
      <c r="F86" s="295">
        <f t="shared" si="0"/>
        <v>0</v>
      </c>
    </row>
    <row r="87" spans="1:8" s="752" customFormat="1">
      <c r="A87" s="282"/>
      <c r="B87" s="292" t="s">
        <v>527</v>
      </c>
      <c r="C87" s="286" t="s">
        <v>10</v>
      </c>
      <c r="D87" s="284">
        <v>0</v>
      </c>
      <c r="E87" s="295"/>
      <c r="F87" s="295">
        <f t="shared" si="0"/>
        <v>0</v>
      </c>
    </row>
    <row r="88" spans="1:8" s="752" customFormat="1">
      <c r="A88" s="282"/>
      <c r="B88" s="292" t="s">
        <v>526</v>
      </c>
      <c r="C88" s="286" t="s">
        <v>10</v>
      </c>
      <c r="D88" s="284">
        <v>0</v>
      </c>
      <c r="E88" s="295"/>
      <c r="F88" s="295">
        <f t="shared" si="0"/>
        <v>0</v>
      </c>
    </row>
    <row r="89" spans="1:8" s="752" customFormat="1">
      <c r="A89" s="282"/>
      <c r="B89" s="292" t="s">
        <v>525</v>
      </c>
      <c r="C89" s="286" t="s">
        <v>10</v>
      </c>
      <c r="D89" s="284">
        <v>0</v>
      </c>
      <c r="E89" s="295"/>
      <c r="F89" s="295">
        <f t="shared" si="0"/>
        <v>0</v>
      </c>
    </row>
    <row r="90" spans="1:8" s="752" customFormat="1">
      <c r="A90" s="282"/>
      <c r="B90" s="292" t="s">
        <v>524</v>
      </c>
      <c r="C90" s="286" t="s">
        <v>10</v>
      </c>
      <c r="D90" s="284">
        <v>0</v>
      </c>
      <c r="E90" s="295"/>
      <c r="F90" s="295">
        <f t="shared" si="0"/>
        <v>0</v>
      </c>
    </row>
    <row r="91" spans="1:8" s="752" customFormat="1">
      <c r="A91" s="282"/>
      <c r="B91" s="303"/>
      <c r="C91" s="286"/>
      <c r="D91" s="294"/>
      <c r="E91" s="295"/>
    </row>
    <row r="92" spans="1:8" s="752" customFormat="1" ht="15.75" thickBot="1">
      <c r="A92" s="304"/>
      <c r="B92" s="305" t="s">
        <v>523</v>
      </c>
      <c r="C92" s="306"/>
      <c r="D92" s="307"/>
      <c r="E92" s="306"/>
      <c r="F92" s="749">
        <f>SUM(F83:F90)</f>
        <v>0</v>
      </c>
    </row>
    <row r="93" spans="1:8" ht="15.75" thickTop="1"/>
    <row r="94" spans="1:8">
      <c r="F94" s="783">
        <f>+F92+F76+F64+F55+F21</f>
        <v>0</v>
      </c>
    </row>
  </sheetData>
  <sheetProtection algorithmName="SHA-512" hashValue="TQmdR6CFoTCBEsYHRjMD9w0ouLCg84w9YVMf3UL/SdZTcErw7pyN7MUFwuh3bVq5ms68mse3cuZH5KFG6n6UDg==" saltValue="bAarrab79iJ5y7srFh5Wsg==" spinCount="100000" sheet="1" objects="1" scenarios="1" selectLockedCells="1"/>
  <customSheetViews>
    <customSheetView guid="{14FA32B8-8DA0-4B39-A6E2-254F8891DDCC}" scale="85" showPageBreaks="1" view="pageBreakPreview" topLeftCell="A58">
      <selection activeCell="B61" sqref="B61"/>
      <rowBreaks count="1" manualBreakCount="1">
        <brk id="51" max="5" man="1"/>
      </rowBreaks>
      <pageMargins left="1.0899999999999999" right="0.7" top="0.75" bottom="0.75" header="0.3" footer="0.3"/>
      <pageSetup scale="63"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1.0899999999999999" right="0.7" top="0.75" bottom="0.75" header="0.3" footer="0.3"/>
  <pageSetup scale="63" orientation="portrait" r:id="rId2"/>
  <headerFooter>
    <oddHeader>&amp;CUREDITEV RAFUTSKEGA PARKA Z LAŠČAKOVO VILO - Park&amp;RLUZ, d.d.</oddHeader>
    <oddFooter>&amp;C&amp;P</oddFooter>
  </headerFooter>
  <rowBreaks count="1" manualBreakCount="1">
    <brk id="50"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tabColor theme="2" tint="-0.249977111117893"/>
  </sheetPr>
  <dimension ref="A1:I102"/>
  <sheetViews>
    <sheetView view="pageBreakPreview" zoomScale="80" zoomScaleNormal="100" zoomScaleSheetLayoutView="80" workbookViewId="0">
      <pane ySplit="6" topLeftCell="A78" activePane="bottomLeft" state="frozen"/>
      <selection pane="bottomLeft" activeCell="E91" sqref="E91"/>
    </sheetView>
  </sheetViews>
  <sheetFormatPr defaultColWidth="9.140625" defaultRowHeight="15"/>
  <cols>
    <col min="1" max="1" width="10.42578125" style="742" customWidth="1"/>
    <col min="2" max="2" width="75.5703125" style="742" customWidth="1"/>
    <col min="3" max="3" width="6.42578125" style="742" customWidth="1"/>
    <col min="4" max="4" width="8.42578125" style="742" customWidth="1"/>
    <col min="5" max="5" width="13.85546875" style="742" bestFit="1" customWidth="1"/>
    <col min="6" max="6" width="15.140625" style="742" bestFit="1" customWidth="1"/>
    <col min="7" max="7" width="9.140625" style="742"/>
    <col min="8" max="8" width="9.140625" style="742" customWidth="1"/>
    <col min="9" max="16384" width="9.140625" style="742"/>
  </cols>
  <sheetData>
    <row r="1" spans="1:9" s="571" customFormat="1">
      <c r="A1" s="1355" t="str">
        <f>Info!B1</f>
        <v>UREDITEV RAFUTSKEGA PARKA Z LAŠČAKOVO VILO - Park</v>
      </c>
      <c r="B1" s="1356"/>
      <c r="C1" s="1356"/>
      <c r="D1" s="1356"/>
      <c r="E1" s="1356"/>
      <c r="F1" s="1357"/>
    </row>
    <row r="2" spans="1:9" s="571" customFormat="1" ht="15.75" thickBot="1">
      <c r="A2" s="1358"/>
      <c r="B2" s="1359"/>
      <c r="C2" s="1359"/>
      <c r="D2" s="1359"/>
      <c r="E2" s="1359"/>
      <c r="F2" s="1360"/>
    </row>
    <row r="3" spans="1:9" s="571" customFormat="1" ht="15.75" thickBot="1">
      <c r="A3" s="1361"/>
      <c r="B3" s="1362"/>
      <c r="C3" s="5"/>
      <c r="D3" s="572"/>
      <c r="E3" s="573"/>
      <c r="F3" s="574"/>
    </row>
    <row r="4" spans="1:9" s="571" customFormat="1" ht="17.25">
      <c r="A4" s="1373" t="s">
        <v>634</v>
      </c>
      <c r="B4" s="1374"/>
      <c r="C4" s="1374"/>
      <c r="D4" s="1374"/>
      <c r="E4" s="1374"/>
      <c r="F4" s="1375"/>
    </row>
    <row r="5" spans="1:9" s="571" customFormat="1">
      <c r="A5" s="577"/>
      <c r="B5" s="578"/>
      <c r="C5" s="579"/>
      <c r="D5" s="579"/>
      <c r="E5" s="580"/>
      <c r="F5" s="580"/>
    </row>
    <row r="6" spans="1:9" s="571" customFormat="1" ht="85.5">
      <c r="A6" s="582" t="s">
        <v>1</v>
      </c>
      <c r="B6" s="583" t="s">
        <v>2</v>
      </c>
      <c r="C6" s="584" t="s">
        <v>4</v>
      </c>
      <c r="D6" s="585" t="s">
        <v>9</v>
      </c>
      <c r="E6" s="586" t="s">
        <v>5</v>
      </c>
      <c r="F6" s="588" t="s">
        <v>1612</v>
      </c>
    </row>
    <row r="7" spans="1:9" ht="16.5" thickBot="1">
      <c r="A7" s="789"/>
      <c r="B7" s="790"/>
      <c r="C7" s="750"/>
      <c r="D7" s="751"/>
      <c r="E7" s="791"/>
      <c r="F7" s="791"/>
      <c r="G7" s="792"/>
    </row>
    <row r="8" spans="1:9" s="571" customFormat="1" ht="18" thickBot="1">
      <c r="A8" s="596" t="s">
        <v>632</v>
      </c>
      <c r="B8" s="596" t="s">
        <v>170</v>
      </c>
      <c r="C8" s="598"/>
      <c r="D8" s="599"/>
      <c r="E8" s="600"/>
      <c r="F8" s="601"/>
    </row>
    <row r="9" spans="1:9" s="744" customFormat="1" ht="26.25">
      <c r="A9" s="282" t="s">
        <v>597</v>
      </c>
      <c r="B9" s="285" t="s">
        <v>596</v>
      </c>
      <c r="C9" s="286" t="s">
        <v>543</v>
      </c>
      <c r="D9" s="743">
        <v>116.87</v>
      </c>
      <c r="E9" s="293"/>
      <c r="F9" s="295">
        <f>D9*E9</f>
        <v>0</v>
      </c>
      <c r="H9" s="287"/>
      <c r="I9" s="287"/>
    </row>
    <row r="10" spans="1:9" s="744" customFormat="1">
      <c r="A10" s="282"/>
      <c r="B10" s="285"/>
      <c r="C10" s="286"/>
      <c r="D10" s="284"/>
      <c r="E10" s="295"/>
      <c r="F10" s="295"/>
      <c r="H10" s="287"/>
      <c r="I10" s="287"/>
    </row>
    <row r="11" spans="1:9" s="744" customFormat="1" ht="26.25">
      <c r="A11" s="282" t="s">
        <v>595</v>
      </c>
      <c r="B11" s="285" t="s">
        <v>594</v>
      </c>
      <c r="C11" s="286" t="s">
        <v>549</v>
      </c>
      <c r="D11" s="284">
        <v>6</v>
      </c>
      <c r="E11" s="293"/>
      <c r="F11" s="295">
        <f>D11*E11</f>
        <v>0</v>
      </c>
      <c r="H11" s="287"/>
      <c r="I11" s="287"/>
    </row>
    <row r="12" spans="1:9" s="744" customFormat="1">
      <c r="A12" s="282"/>
      <c r="B12" s="285"/>
      <c r="C12" s="286"/>
      <c r="D12" s="284"/>
      <c r="E12" s="295"/>
      <c r="F12" s="295"/>
      <c r="H12" s="287"/>
      <c r="I12" s="287"/>
    </row>
    <row r="13" spans="1:9" s="744" customFormat="1" ht="26.25">
      <c r="A13" s="282" t="s">
        <v>593</v>
      </c>
      <c r="B13" s="285" t="s">
        <v>1422</v>
      </c>
      <c r="C13" s="286" t="s">
        <v>70</v>
      </c>
      <c r="D13" s="743">
        <v>116.87</v>
      </c>
      <c r="E13" s="293"/>
      <c r="F13" s="295">
        <f>D13*E13</f>
        <v>0</v>
      </c>
      <c r="H13" s="287"/>
      <c r="I13" s="287"/>
    </row>
    <row r="14" spans="1:9" s="744" customFormat="1">
      <c r="A14" s="282"/>
      <c r="B14" s="285"/>
      <c r="C14" s="286"/>
      <c r="D14" s="284"/>
      <c r="E14" s="295"/>
      <c r="F14" s="295"/>
      <c r="H14" s="287"/>
      <c r="I14" s="287"/>
    </row>
    <row r="15" spans="1:9" s="744" customFormat="1" ht="26.25">
      <c r="A15" s="282" t="s">
        <v>592</v>
      </c>
      <c r="B15" s="285" t="s">
        <v>590</v>
      </c>
      <c r="C15" s="286" t="s">
        <v>549</v>
      </c>
      <c r="D15" s="284">
        <v>1</v>
      </c>
      <c r="E15" s="293"/>
      <c r="F15" s="295">
        <f>D15*E15</f>
        <v>0</v>
      </c>
      <c r="H15" s="287"/>
      <c r="I15" s="287"/>
    </row>
    <row r="16" spans="1:9" s="744" customFormat="1">
      <c r="A16" s="282"/>
      <c r="B16" s="285"/>
      <c r="C16" s="286"/>
      <c r="D16" s="284"/>
      <c r="E16" s="734"/>
      <c r="F16" s="295"/>
      <c r="H16" s="287"/>
      <c r="I16" s="287"/>
    </row>
    <row r="17" spans="1:9" s="744" customFormat="1" ht="39">
      <c r="A17" s="282" t="s">
        <v>591</v>
      </c>
      <c r="B17" s="283" t="s">
        <v>1438</v>
      </c>
      <c r="C17" s="289"/>
      <c r="D17" s="289"/>
      <c r="E17" s="289"/>
      <c r="F17" s="295"/>
      <c r="H17" s="287"/>
      <c r="I17" s="287"/>
    </row>
    <row r="18" spans="1:9" s="744" customFormat="1">
      <c r="A18" s="282"/>
      <c r="B18" s="285" t="s">
        <v>586</v>
      </c>
      <c r="C18" s="290" t="s">
        <v>70</v>
      </c>
      <c r="D18" s="743">
        <v>116.87</v>
      </c>
      <c r="E18" s="293"/>
      <c r="F18" s="295">
        <f>D18*E18</f>
        <v>0</v>
      </c>
      <c r="H18" s="287"/>
      <c r="I18" s="287"/>
    </row>
    <row r="19" spans="1:9" s="744" customFormat="1">
      <c r="A19" s="282"/>
      <c r="B19" s="285" t="s">
        <v>585</v>
      </c>
      <c r="C19" s="290" t="s">
        <v>70</v>
      </c>
      <c r="D19" s="743">
        <v>116.87</v>
      </c>
      <c r="E19" s="293"/>
      <c r="F19" s="295">
        <f>D19*E19</f>
        <v>0</v>
      </c>
      <c r="H19" s="287"/>
      <c r="I19" s="287"/>
    </row>
    <row r="20" spans="1:9" s="744" customFormat="1">
      <c r="A20" s="303"/>
      <c r="B20" s="287"/>
      <c r="C20" s="287"/>
      <c r="D20" s="287"/>
      <c r="E20" s="734"/>
      <c r="F20" s="287"/>
      <c r="H20" s="287"/>
      <c r="I20" s="287"/>
    </row>
    <row r="21" spans="1:9" s="744" customFormat="1" ht="15.75" thickBot="1">
      <c r="A21" s="745"/>
      <c r="B21" s="305" t="s">
        <v>579</v>
      </c>
      <c r="C21" s="746"/>
      <c r="D21" s="747"/>
      <c r="E21" s="748"/>
      <c r="F21" s="749">
        <f>SUM(F9:F20)</f>
        <v>0</v>
      </c>
      <c r="H21" s="287"/>
      <c r="I21" s="287"/>
    </row>
    <row r="22" spans="1:9" s="744" customFormat="1" ht="15.75" thickTop="1">
      <c r="A22" s="296"/>
      <c r="B22" s="297"/>
      <c r="C22" s="298"/>
      <c r="D22" s="299"/>
      <c r="E22" s="300"/>
      <c r="F22" s="301"/>
      <c r="H22" s="287"/>
      <c r="I22" s="287"/>
    </row>
    <row r="23" spans="1:9" s="752" customFormat="1">
      <c r="A23" s="738"/>
      <c r="B23" s="741"/>
      <c r="C23" s="750"/>
      <c r="D23" s="751"/>
      <c r="E23" s="312"/>
      <c r="F23" s="312"/>
      <c r="H23" s="741"/>
      <c r="I23" s="741"/>
    </row>
    <row r="24" spans="1:9" s="752" customFormat="1" ht="15.75">
      <c r="A24" s="753" t="s">
        <v>578</v>
      </c>
      <c r="B24" s="753" t="s">
        <v>171</v>
      </c>
      <c r="C24" s="311"/>
      <c r="D24" s="740"/>
      <c r="E24" s="312"/>
      <c r="F24" s="312"/>
      <c r="H24" s="741"/>
      <c r="I24" s="741"/>
    </row>
    <row r="25" spans="1:9" s="752" customFormat="1" ht="15.75">
      <c r="A25" s="753"/>
      <c r="B25" s="753"/>
      <c r="C25" s="311"/>
      <c r="D25" s="740"/>
      <c r="E25" s="312"/>
      <c r="F25" s="312"/>
      <c r="H25" s="741"/>
      <c r="I25" s="741"/>
    </row>
    <row r="26" spans="1:9" s="752" customFormat="1" ht="15.75">
      <c r="A26" s="753"/>
      <c r="B26" s="753" t="s">
        <v>615</v>
      </c>
      <c r="C26" s="311"/>
      <c r="D26" s="740"/>
      <c r="E26" s="312"/>
      <c r="F26" s="312"/>
      <c r="H26" s="741"/>
      <c r="I26" s="741"/>
    </row>
    <row r="27" spans="1:9" s="752" customFormat="1" ht="26.25">
      <c r="A27" s="753"/>
      <c r="B27" s="285" t="s">
        <v>614</v>
      </c>
      <c r="C27" s="311"/>
      <c r="D27" s="740"/>
      <c r="E27" s="312"/>
      <c r="F27" s="312"/>
      <c r="H27" s="741"/>
      <c r="I27" s="741"/>
    </row>
    <row r="28" spans="1:9" s="752" customFormat="1" ht="15.75">
      <c r="A28" s="753"/>
      <c r="B28" s="285" t="s">
        <v>613</v>
      </c>
      <c r="C28" s="311"/>
      <c r="D28" s="740"/>
      <c r="E28" s="312"/>
      <c r="F28" s="312"/>
      <c r="H28" s="741"/>
      <c r="I28" s="741"/>
    </row>
    <row r="29" spans="1:9" s="752" customFormat="1" ht="15.75">
      <c r="A29" s="753"/>
      <c r="B29" s="285"/>
      <c r="C29" s="311"/>
      <c r="D29" s="740"/>
      <c r="E29" s="312"/>
      <c r="F29" s="312"/>
      <c r="H29" s="741"/>
      <c r="I29" s="741"/>
    </row>
    <row r="30" spans="1:9" s="752" customFormat="1" ht="15.75">
      <c r="A30" s="753"/>
      <c r="B30" s="285"/>
      <c r="C30" s="311"/>
      <c r="D30" s="740"/>
      <c r="E30" s="312"/>
      <c r="F30" s="312"/>
      <c r="H30" s="741"/>
      <c r="I30" s="741"/>
    </row>
    <row r="31" spans="1:9" s="752" customFormat="1" ht="25.5">
      <c r="A31" s="282" t="s">
        <v>573</v>
      </c>
      <c r="B31" s="316" t="s">
        <v>612</v>
      </c>
      <c r="C31" s="298" t="s">
        <v>11</v>
      </c>
      <c r="D31" s="299">
        <f>115.97-19.48</f>
        <v>96.49</v>
      </c>
      <c r="E31" s="737"/>
      <c r="F31" s="317">
        <f>D31*E31</f>
        <v>0</v>
      </c>
      <c r="H31" s="741"/>
      <c r="I31" s="741"/>
    </row>
    <row r="32" spans="1:9" s="752" customFormat="1" ht="15.75">
      <c r="A32" s="753"/>
      <c r="B32" s="285"/>
      <c r="C32" s="311"/>
      <c r="D32" s="740"/>
      <c r="E32" s="312"/>
      <c r="F32" s="312"/>
      <c r="H32" s="741"/>
      <c r="I32" s="741"/>
    </row>
    <row r="33" spans="1:9" s="752" customFormat="1" ht="26.25">
      <c r="A33" s="738" t="s">
        <v>571</v>
      </c>
      <c r="B33" s="285" t="s">
        <v>572</v>
      </c>
      <c r="C33" s="286" t="s">
        <v>11</v>
      </c>
      <c r="D33" s="294">
        <v>19.48</v>
      </c>
      <c r="E33" s="288"/>
      <c r="F33" s="295">
        <f>D33*E33</f>
        <v>0</v>
      </c>
      <c r="H33" s="741"/>
      <c r="I33" s="741"/>
    </row>
    <row r="34" spans="1:9" s="752" customFormat="1" ht="15.75">
      <c r="A34" s="738"/>
      <c r="B34" s="753"/>
      <c r="C34" s="311"/>
      <c r="D34" s="740"/>
      <c r="E34" s="312"/>
      <c r="F34" s="312"/>
      <c r="H34" s="741"/>
      <c r="I34" s="741"/>
    </row>
    <row r="35" spans="1:9" s="752" customFormat="1" ht="39">
      <c r="A35" s="738" t="s">
        <v>570</v>
      </c>
      <c r="B35" s="754" t="s">
        <v>611</v>
      </c>
      <c r="C35" s="311" t="s">
        <v>40</v>
      </c>
      <c r="D35" s="755">
        <f>230.77*0.9</f>
        <v>207.69300000000001</v>
      </c>
      <c r="E35" s="733"/>
      <c r="F35" s="312">
        <f>D35*E35</f>
        <v>0</v>
      </c>
      <c r="H35" s="741"/>
      <c r="I35" s="741"/>
    </row>
    <row r="36" spans="1:9" s="752" customFormat="1">
      <c r="A36" s="757"/>
      <c r="B36" s="754"/>
      <c r="C36" s="311"/>
      <c r="D36" s="755"/>
      <c r="E36" s="756"/>
      <c r="F36" s="312"/>
      <c r="H36" s="741"/>
      <c r="I36" s="741"/>
    </row>
    <row r="37" spans="1:9" s="752" customFormat="1" ht="39">
      <c r="A37" s="738" t="s">
        <v>568</v>
      </c>
      <c r="B37" s="754" t="s">
        <v>569</v>
      </c>
      <c r="C37" s="311" t="s">
        <v>40</v>
      </c>
      <c r="D37" s="755">
        <f>230.77*0.1</f>
        <v>23.077000000000002</v>
      </c>
      <c r="E37" s="733"/>
      <c r="F37" s="312">
        <f>D37*E37</f>
        <v>0</v>
      </c>
      <c r="H37" s="741"/>
      <c r="I37" s="741"/>
    </row>
    <row r="38" spans="1:9" s="752" customFormat="1">
      <c r="A38" s="738"/>
      <c r="B38" s="754"/>
      <c r="C38" s="311"/>
      <c r="D38" s="755"/>
      <c r="E38" s="756"/>
      <c r="F38" s="312"/>
      <c r="H38" s="741"/>
      <c r="I38" s="741"/>
    </row>
    <row r="39" spans="1:9" s="752" customFormat="1" ht="39">
      <c r="A39" s="282" t="s">
        <v>565</v>
      </c>
      <c r="B39" s="283" t="s">
        <v>610</v>
      </c>
      <c r="C39" s="286" t="s">
        <v>40</v>
      </c>
      <c r="D39" s="758">
        <v>34.76</v>
      </c>
      <c r="E39" s="293"/>
      <c r="F39" s="295">
        <f>D39*E39</f>
        <v>0</v>
      </c>
      <c r="H39" s="741"/>
      <c r="I39" s="741"/>
    </row>
    <row r="40" spans="1:9" s="752" customFormat="1">
      <c r="A40" s="282"/>
      <c r="B40" s="283"/>
      <c r="C40" s="286"/>
      <c r="D40" s="758"/>
      <c r="E40" s="734"/>
      <c r="F40" s="295"/>
      <c r="H40" s="741"/>
      <c r="I40" s="741"/>
    </row>
    <row r="41" spans="1:9" s="752" customFormat="1" ht="39">
      <c r="A41" s="282" t="s">
        <v>563</v>
      </c>
      <c r="B41" s="292" t="s">
        <v>609</v>
      </c>
      <c r="C41" s="286" t="s">
        <v>70</v>
      </c>
      <c r="D41" s="284">
        <v>23.52</v>
      </c>
      <c r="E41" s="293"/>
      <c r="F41" s="295">
        <f>D41*E41</f>
        <v>0</v>
      </c>
      <c r="H41" s="741"/>
      <c r="I41" s="741"/>
    </row>
    <row r="42" spans="1:9" s="752" customFormat="1">
      <c r="A42" s="282"/>
      <c r="B42" s="292"/>
      <c r="C42" s="286"/>
      <c r="D42" s="284"/>
      <c r="E42" s="295"/>
      <c r="F42" s="312"/>
      <c r="H42" s="741"/>
      <c r="I42" s="741"/>
    </row>
    <row r="43" spans="1:9" s="752" customFormat="1" ht="26.25">
      <c r="A43" s="738" t="s">
        <v>561</v>
      </c>
      <c r="B43" s="759" t="s">
        <v>567</v>
      </c>
      <c r="C43" s="311" t="s">
        <v>566</v>
      </c>
      <c r="D43" s="743">
        <v>116.87</v>
      </c>
      <c r="E43" s="733"/>
      <c r="F43" s="312">
        <f>D43*E43</f>
        <v>0</v>
      </c>
      <c r="H43" s="741"/>
      <c r="I43" s="741"/>
    </row>
    <row r="44" spans="1:9" s="752" customFormat="1">
      <c r="A44" s="760"/>
      <c r="B44" s="759"/>
      <c r="C44" s="311"/>
      <c r="D44" s="743"/>
      <c r="E44" s="756"/>
      <c r="F44" s="312"/>
      <c r="H44" s="741"/>
      <c r="I44" s="741"/>
    </row>
    <row r="45" spans="1:9" s="752" customFormat="1" ht="39">
      <c r="A45" s="738" t="s">
        <v>559</v>
      </c>
      <c r="B45" s="759" t="s">
        <v>564</v>
      </c>
      <c r="C45" s="311" t="s">
        <v>40</v>
      </c>
      <c r="D45" s="743">
        <v>11.09</v>
      </c>
      <c r="E45" s="733"/>
      <c r="F45" s="312">
        <f>D45*E45</f>
        <v>0</v>
      </c>
      <c r="H45" s="741"/>
      <c r="I45" s="741"/>
    </row>
    <row r="46" spans="1:9" s="752" customFormat="1">
      <c r="A46" s="757"/>
      <c r="B46" s="761"/>
      <c r="C46" s="311"/>
      <c r="D46" s="743"/>
      <c r="E46" s="312"/>
      <c r="F46" s="312"/>
      <c r="H46" s="741"/>
      <c r="I46" s="741"/>
    </row>
    <row r="47" spans="1:9" s="752" customFormat="1" ht="51.75">
      <c r="A47" s="738" t="s">
        <v>557</v>
      </c>
      <c r="B47" s="762" t="s">
        <v>562</v>
      </c>
      <c r="C47" s="311" t="s">
        <v>40</v>
      </c>
      <c r="D47" s="763">
        <v>42.68</v>
      </c>
      <c r="E47" s="733"/>
      <c r="F47" s="312">
        <f>D47*E47</f>
        <v>0</v>
      </c>
      <c r="H47" s="741"/>
      <c r="I47" s="741"/>
    </row>
    <row r="48" spans="1:9" s="752" customFormat="1">
      <c r="A48" s="738"/>
      <c r="B48" s="762"/>
      <c r="C48" s="311"/>
      <c r="D48" s="763"/>
      <c r="E48" s="756"/>
      <c r="F48" s="312"/>
      <c r="H48" s="741"/>
      <c r="I48" s="741"/>
    </row>
    <row r="49" spans="1:9" s="752" customFormat="1" ht="26.25">
      <c r="A49" s="738" t="s">
        <v>555</v>
      </c>
      <c r="B49" s="754" t="s">
        <v>560</v>
      </c>
      <c r="C49" s="311" t="s">
        <v>40</v>
      </c>
      <c r="D49" s="743">
        <v>201.11</v>
      </c>
      <c r="E49" s="733"/>
      <c r="F49" s="312">
        <f>D49*E49</f>
        <v>0</v>
      </c>
      <c r="H49" s="741"/>
      <c r="I49" s="741"/>
    </row>
    <row r="50" spans="1:9" s="752" customFormat="1">
      <c r="A50" s="738"/>
      <c r="B50" s="754"/>
      <c r="C50" s="311"/>
      <c r="D50" s="743"/>
      <c r="E50" s="756"/>
      <c r="F50" s="312"/>
      <c r="H50" s="741"/>
      <c r="I50" s="741"/>
    </row>
    <row r="51" spans="1:9" s="752" customFormat="1" ht="26.25">
      <c r="A51" s="282" t="s">
        <v>608</v>
      </c>
      <c r="B51" s="754" t="s">
        <v>607</v>
      </c>
      <c r="C51" s="311" t="s">
        <v>40</v>
      </c>
      <c r="D51" s="743">
        <v>53.77</v>
      </c>
      <c r="E51" s="733"/>
      <c r="F51" s="312">
        <f>D51*E51</f>
        <v>0</v>
      </c>
      <c r="H51" s="741"/>
      <c r="I51" s="741"/>
    </row>
    <row r="52" spans="1:9" s="752" customFormat="1">
      <c r="A52" s="757"/>
      <c r="B52" s="754"/>
      <c r="C52" s="311"/>
      <c r="D52" s="743"/>
      <c r="E52" s="756"/>
      <c r="F52" s="312"/>
      <c r="H52" s="741"/>
      <c r="I52" s="741"/>
    </row>
    <row r="53" spans="1:9" s="752" customFormat="1">
      <c r="A53" s="738" t="s">
        <v>606</v>
      </c>
      <c r="B53" s="292" t="s">
        <v>556</v>
      </c>
      <c r="C53" s="286" t="s">
        <v>116</v>
      </c>
      <c r="D53" s="743">
        <v>12</v>
      </c>
      <c r="E53" s="293"/>
      <c r="F53" s="295">
        <f>D53*E53</f>
        <v>0</v>
      </c>
      <c r="H53" s="741"/>
      <c r="I53" s="741"/>
    </row>
    <row r="54" spans="1:9" s="752" customFormat="1">
      <c r="A54" s="738"/>
      <c r="B54" s="292"/>
      <c r="C54" s="286"/>
      <c r="D54" s="743"/>
      <c r="E54" s="734"/>
      <c r="F54" s="295"/>
      <c r="H54" s="741"/>
      <c r="I54" s="741"/>
    </row>
    <row r="55" spans="1:9" s="752" customFormat="1" ht="26.25">
      <c r="A55" s="282" t="s">
        <v>605</v>
      </c>
      <c r="B55" s="318" t="s">
        <v>604</v>
      </c>
      <c r="C55" s="286" t="s">
        <v>10</v>
      </c>
      <c r="D55" s="319">
        <v>1</v>
      </c>
      <c r="E55" s="293"/>
      <c r="F55" s="295">
        <f>D55*E55</f>
        <v>0</v>
      </c>
      <c r="H55" s="741"/>
      <c r="I55" s="741"/>
    </row>
    <row r="56" spans="1:9" s="752" customFormat="1">
      <c r="H56" s="741"/>
      <c r="I56" s="741"/>
    </row>
    <row r="57" spans="1:9" s="752" customFormat="1" ht="26.25">
      <c r="A57" s="282" t="s">
        <v>603</v>
      </c>
      <c r="B57" s="318" t="s">
        <v>602</v>
      </c>
      <c r="C57" s="286" t="s">
        <v>10</v>
      </c>
      <c r="D57" s="319">
        <v>1</v>
      </c>
      <c r="E57" s="293"/>
      <c r="F57" s="295">
        <f>D57*E57</f>
        <v>0</v>
      </c>
      <c r="H57" s="741"/>
      <c r="I57" s="741"/>
    </row>
    <row r="58" spans="1:9" s="752" customFormat="1">
      <c r="H58" s="741"/>
      <c r="I58" s="741"/>
    </row>
    <row r="59" spans="1:9" s="752" customFormat="1" ht="51.75">
      <c r="A59" s="282" t="s">
        <v>601</v>
      </c>
      <c r="B59" s="318" t="s">
        <v>617</v>
      </c>
      <c r="C59" s="286" t="s">
        <v>70</v>
      </c>
      <c r="D59" s="319">
        <v>9.18</v>
      </c>
      <c r="E59" s="293"/>
      <c r="F59" s="295">
        <f>D59*E59</f>
        <v>0</v>
      </c>
      <c r="H59" s="741"/>
      <c r="I59" s="741"/>
    </row>
    <row r="60" spans="1:9" s="752" customFormat="1">
      <c r="A60" s="757"/>
      <c r="B60" s="759"/>
      <c r="C60" s="311"/>
      <c r="D60" s="740"/>
      <c r="E60" s="312"/>
      <c r="F60" s="312"/>
      <c r="H60" s="741"/>
      <c r="I60" s="741"/>
    </row>
    <row r="61" spans="1:9" s="752" customFormat="1" ht="15.75" thickBot="1">
      <c r="A61" s="765"/>
      <c r="B61" s="766" t="s">
        <v>554</v>
      </c>
      <c r="C61" s="163"/>
      <c r="D61" s="162"/>
      <c r="E61" s="161"/>
      <c r="F61" s="749">
        <f>SUM(F29:F59)</f>
        <v>0</v>
      </c>
      <c r="H61" s="741"/>
      <c r="I61" s="741"/>
    </row>
    <row r="62" spans="1:9" s="752" customFormat="1" ht="15.75" thickTop="1">
      <c r="A62" s="738"/>
      <c r="B62" s="767"/>
      <c r="C62" s="768"/>
      <c r="D62" s="769"/>
      <c r="E62" s="770"/>
      <c r="F62" s="771"/>
      <c r="H62" s="741"/>
      <c r="I62" s="741"/>
    </row>
    <row r="63" spans="1:9" s="752" customFormat="1">
      <c r="A63" s="772"/>
      <c r="B63" s="292"/>
      <c r="C63" s="768"/>
      <c r="D63" s="769"/>
      <c r="E63" s="770"/>
      <c r="F63" s="771"/>
      <c r="H63" s="741"/>
      <c r="I63" s="741"/>
    </row>
    <row r="64" spans="1:9" s="752" customFormat="1" ht="15.75">
      <c r="A64" s="753" t="s">
        <v>553</v>
      </c>
      <c r="B64" s="753" t="s">
        <v>100</v>
      </c>
      <c r="C64" s="311"/>
      <c r="D64" s="740"/>
      <c r="E64" s="312"/>
      <c r="F64" s="312"/>
      <c r="H64" s="741"/>
      <c r="I64" s="741"/>
    </row>
    <row r="65" spans="1:9" s="752" customFormat="1" ht="15.75">
      <c r="A65" s="753"/>
      <c r="B65" s="753"/>
      <c r="C65" s="311"/>
      <c r="D65" s="740"/>
      <c r="E65" s="312"/>
      <c r="F65" s="312"/>
      <c r="H65" s="741"/>
      <c r="I65" s="741"/>
    </row>
    <row r="66" spans="1:9" s="752" customFormat="1" ht="26.25">
      <c r="A66" s="738"/>
      <c r="B66" s="773" t="s">
        <v>1592</v>
      </c>
      <c r="C66" s="311"/>
      <c r="D66" s="743"/>
      <c r="E66" s="312"/>
      <c r="F66" s="312"/>
      <c r="H66" s="741"/>
      <c r="I66" s="741"/>
    </row>
    <row r="67" spans="1:9" s="752" customFormat="1">
      <c r="A67" s="738"/>
      <c r="B67" s="773"/>
      <c r="C67" s="311"/>
      <c r="D67" s="743"/>
      <c r="E67" s="312"/>
      <c r="F67" s="312"/>
      <c r="H67" s="741"/>
      <c r="I67" s="741"/>
    </row>
    <row r="68" spans="1:9" s="752" customFormat="1" ht="77.25">
      <c r="A68" s="738" t="s">
        <v>552</v>
      </c>
      <c r="B68" s="773" t="s">
        <v>1439</v>
      </c>
      <c r="C68" s="311" t="s">
        <v>10</v>
      </c>
      <c r="D68" s="743">
        <v>3</v>
      </c>
      <c r="E68" s="735"/>
      <c r="F68" s="312">
        <f>D68*E68</f>
        <v>0</v>
      </c>
      <c r="H68" s="774"/>
      <c r="I68" s="774"/>
    </row>
    <row r="69" spans="1:9" s="752" customFormat="1">
      <c r="A69" s="772"/>
      <c r="B69" s="292"/>
      <c r="C69" s="768"/>
      <c r="D69" s="769"/>
      <c r="E69" s="770"/>
      <c r="F69" s="771"/>
      <c r="H69" s="741"/>
      <c r="I69" s="741"/>
    </row>
    <row r="70" spans="1:9" s="752" customFormat="1" ht="77.25">
      <c r="A70" s="738" t="s">
        <v>551</v>
      </c>
      <c r="B70" s="773" t="s">
        <v>1440</v>
      </c>
      <c r="C70" s="311" t="s">
        <v>10</v>
      </c>
      <c r="D70" s="743">
        <v>3</v>
      </c>
      <c r="E70" s="735"/>
      <c r="F70" s="312">
        <f>D70*E70</f>
        <v>0</v>
      </c>
      <c r="H70" s="741"/>
      <c r="I70" s="741"/>
    </row>
    <row r="71" spans="1:9" s="752" customFormat="1">
      <c r="A71" s="738"/>
      <c r="B71" s="739"/>
      <c r="C71" s="311"/>
      <c r="D71" s="740"/>
      <c r="E71" s="312"/>
      <c r="F71" s="312"/>
      <c r="H71" s="741"/>
      <c r="I71" s="741"/>
    </row>
    <row r="72" spans="1:9" s="752" customFormat="1" ht="15.75" thickBot="1">
      <c r="A72" s="765"/>
      <c r="B72" s="766" t="s">
        <v>548</v>
      </c>
      <c r="C72" s="163"/>
      <c r="D72" s="162"/>
      <c r="E72" s="161"/>
      <c r="F72" s="749">
        <f>SUM(F68:F70)</f>
        <v>0</v>
      </c>
      <c r="H72" s="741"/>
      <c r="I72" s="741"/>
    </row>
    <row r="73" spans="1:9" s="752" customFormat="1" ht="15.75" thickTop="1">
      <c r="A73" s="772"/>
      <c r="B73" s="767"/>
      <c r="C73" s="768"/>
      <c r="D73" s="769"/>
      <c r="E73" s="770"/>
      <c r="F73" s="771"/>
      <c r="H73" s="741"/>
      <c r="I73" s="741"/>
    </row>
    <row r="74" spans="1:9" s="752" customFormat="1" ht="15.75">
      <c r="A74" s="753" t="s">
        <v>547</v>
      </c>
      <c r="B74" s="753" t="s">
        <v>546</v>
      </c>
      <c r="C74" s="311"/>
      <c r="D74" s="740"/>
      <c r="E74" s="312"/>
      <c r="F74" s="312"/>
      <c r="H74" s="741"/>
      <c r="I74" s="741"/>
    </row>
    <row r="75" spans="1:9" s="752" customFormat="1">
      <c r="A75" s="738"/>
      <c r="B75" s="739"/>
      <c r="C75" s="311"/>
      <c r="D75" s="740"/>
      <c r="E75" s="312"/>
      <c r="F75" s="312"/>
      <c r="H75" s="741"/>
      <c r="I75" s="741"/>
    </row>
    <row r="76" spans="1:9" s="752" customFormat="1" ht="39">
      <c r="A76" s="738" t="s">
        <v>545</v>
      </c>
      <c r="B76" s="292" t="s">
        <v>544</v>
      </c>
      <c r="C76" s="286" t="s">
        <v>543</v>
      </c>
      <c r="D76" s="743">
        <v>116.87</v>
      </c>
      <c r="E76" s="736"/>
      <c r="F76" s="312">
        <f>D76*E76</f>
        <v>0</v>
      </c>
      <c r="H76" s="741"/>
      <c r="I76" s="741"/>
    </row>
    <row r="77" spans="1:9" s="752" customFormat="1">
      <c r="A77" s="738"/>
      <c r="B77" s="759"/>
      <c r="C77" s="311"/>
      <c r="D77" s="743"/>
      <c r="E77" s="756"/>
      <c r="F77" s="312"/>
      <c r="H77" s="741"/>
      <c r="I77" s="741"/>
    </row>
    <row r="78" spans="1:9" s="752" customFormat="1">
      <c r="A78" s="282" t="s">
        <v>542</v>
      </c>
      <c r="B78" s="292" t="s">
        <v>541</v>
      </c>
      <c r="C78" s="286" t="s">
        <v>70</v>
      </c>
      <c r="D78" s="743">
        <v>116.87</v>
      </c>
      <c r="E78" s="293"/>
      <c r="F78" s="295">
        <f>D78*E78</f>
        <v>0</v>
      </c>
      <c r="H78" s="741"/>
      <c r="I78" s="741"/>
    </row>
    <row r="79" spans="1:9" s="752" customFormat="1">
      <c r="A79" s="296"/>
      <c r="B79" s="297"/>
      <c r="C79" s="298"/>
      <c r="D79" s="299"/>
      <c r="E79" s="300"/>
      <c r="F79" s="301"/>
      <c r="H79" s="741"/>
      <c r="I79" s="741"/>
    </row>
    <row r="80" spans="1:9" s="752" customFormat="1" ht="26.25">
      <c r="A80" s="282" t="s">
        <v>540</v>
      </c>
      <c r="B80" s="292" t="s">
        <v>539</v>
      </c>
      <c r="C80" s="286" t="s">
        <v>70</v>
      </c>
      <c r="D80" s="743">
        <v>116.87</v>
      </c>
      <c r="E80" s="293"/>
      <c r="F80" s="295">
        <f>E80*D80</f>
        <v>0</v>
      </c>
      <c r="H80" s="741"/>
      <c r="I80" s="741"/>
    </row>
    <row r="81" spans="1:9" s="752" customFormat="1">
      <c r="A81" s="282"/>
      <c r="B81" s="292"/>
      <c r="C81" s="286"/>
      <c r="D81" s="284"/>
      <c r="E81" s="734"/>
      <c r="F81" s="295"/>
      <c r="H81" s="741"/>
      <c r="I81" s="741"/>
    </row>
    <row r="82" spans="1:9" s="752" customFormat="1">
      <c r="A82" s="282" t="s">
        <v>538</v>
      </c>
      <c r="B82" s="292" t="s">
        <v>537</v>
      </c>
      <c r="C82" s="286" t="s">
        <v>70</v>
      </c>
      <c r="D82" s="743">
        <v>116.87</v>
      </c>
      <c r="E82" s="293"/>
      <c r="F82" s="295">
        <f>D82*E82</f>
        <v>0</v>
      </c>
      <c r="H82" s="741"/>
      <c r="I82" s="741"/>
    </row>
    <row r="83" spans="1:9" s="752" customFormat="1">
      <c r="A83" s="738"/>
      <c r="B83" s="739"/>
      <c r="C83" s="311"/>
      <c r="D83" s="740"/>
      <c r="E83" s="312"/>
      <c r="F83" s="312"/>
      <c r="H83" s="741"/>
      <c r="I83" s="741"/>
    </row>
    <row r="84" spans="1:9" s="752" customFormat="1" ht="15.75" thickBot="1">
      <c r="A84" s="775"/>
      <c r="B84" s="766" t="s">
        <v>536</v>
      </c>
      <c r="C84" s="776"/>
      <c r="D84" s="777"/>
      <c r="E84" s="778"/>
      <c r="F84" s="749">
        <f>SUM(F76:F82)</f>
        <v>0</v>
      </c>
      <c r="H84" s="741"/>
      <c r="I84" s="741"/>
    </row>
    <row r="85" spans="1:9" s="752" customFormat="1" ht="15.75" thickTop="1">
      <c r="A85" s="779"/>
      <c r="B85" s="767"/>
      <c r="C85" s="780"/>
      <c r="D85" s="781"/>
      <c r="E85" s="771"/>
      <c r="F85" s="771"/>
      <c r="H85" s="741"/>
      <c r="I85" s="741"/>
    </row>
    <row r="86" spans="1:9" s="752" customFormat="1">
      <c r="A86" s="779"/>
      <c r="B86" s="767"/>
      <c r="C86" s="780"/>
      <c r="D86" s="781"/>
      <c r="E86" s="771"/>
      <c r="F86" s="771"/>
      <c r="H86" s="741"/>
      <c r="I86" s="741"/>
    </row>
    <row r="87" spans="1:9" s="752" customFormat="1" ht="15.75">
      <c r="A87" s="302" t="s">
        <v>535</v>
      </c>
      <c r="B87" s="302" t="s">
        <v>534</v>
      </c>
      <c r="C87" s="286"/>
      <c r="D87" s="294"/>
      <c r="E87" s="295"/>
      <c r="F87" s="782"/>
      <c r="H87" s="782"/>
    </row>
    <row r="88" spans="1:9" s="752" customFormat="1">
      <c r="A88" s="282"/>
      <c r="B88" s="303"/>
      <c r="C88" s="286"/>
      <c r="D88" s="294"/>
      <c r="E88" s="295"/>
      <c r="F88" s="782"/>
      <c r="H88" s="782"/>
    </row>
    <row r="89" spans="1:9" s="752" customFormat="1">
      <c r="A89" s="282" t="s">
        <v>533</v>
      </c>
      <c r="B89" s="292" t="s">
        <v>532</v>
      </c>
      <c r="C89" s="286"/>
      <c r="D89" s="284"/>
      <c r="E89" s="295"/>
      <c r="F89" s="782"/>
      <c r="H89" s="782"/>
    </row>
    <row r="90" spans="1:9" s="752" customFormat="1">
      <c r="A90" s="296"/>
      <c r="B90" s="297"/>
      <c r="C90" s="298"/>
      <c r="D90" s="299"/>
      <c r="E90" s="301"/>
    </row>
    <row r="91" spans="1:9" s="752" customFormat="1">
      <c r="A91" s="282"/>
      <c r="B91" s="292" t="s">
        <v>531</v>
      </c>
      <c r="C91" s="286" t="s">
        <v>10</v>
      </c>
      <c r="D91" s="284">
        <v>1</v>
      </c>
      <c r="E91" s="288"/>
      <c r="F91" s="295">
        <f t="shared" ref="F91:F98" si="0">D91*E91</f>
        <v>0</v>
      </c>
    </row>
    <row r="92" spans="1:9" s="752" customFormat="1">
      <c r="A92" s="282"/>
      <c r="B92" s="292" t="s">
        <v>530</v>
      </c>
      <c r="C92" s="286" t="s">
        <v>10</v>
      </c>
      <c r="D92" s="284">
        <v>0</v>
      </c>
      <c r="E92" s="295"/>
      <c r="F92" s="295">
        <f t="shared" si="0"/>
        <v>0</v>
      </c>
    </row>
    <row r="93" spans="1:9" s="752" customFormat="1">
      <c r="A93" s="282"/>
      <c r="B93" s="292" t="s">
        <v>529</v>
      </c>
      <c r="C93" s="286" t="s">
        <v>10</v>
      </c>
      <c r="D93" s="284">
        <v>0</v>
      </c>
      <c r="E93" s="295"/>
      <c r="F93" s="295">
        <f t="shared" si="0"/>
        <v>0</v>
      </c>
    </row>
    <row r="94" spans="1:9" s="752" customFormat="1">
      <c r="A94" s="282"/>
      <c r="B94" s="292" t="s">
        <v>528</v>
      </c>
      <c r="C94" s="286" t="s">
        <v>10</v>
      </c>
      <c r="D94" s="284">
        <v>0</v>
      </c>
      <c r="E94" s="295"/>
      <c r="F94" s="295">
        <f t="shared" si="0"/>
        <v>0</v>
      </c>
    </row>
    <row r="95" spans="1:9" s="752" customFormat="1">
      <c r="A95" s="282"/>
      <c r="B95" s="292" t="s">
        <v>527</v>
      </c>
      <c r="C95" s="286" t="s">
        <v>10</v>
      </c>
      <c r="D95" s="284">
        <v>0</v>
      </c>
      <c r="E95" s="295"/>
      <c r="F95" s="295">
        <f t="shared" si="0"/>
        <v>0</v>
      </c>
    </row>
    <row r="96" spans="1:9" s="752" customFormat="1">
      <c r="A96" s="282"/>
      <c r="B96" s="292" t="s">
        <v>526</v>
      </c>
      <c r="C96" s="286" t="s">
        <v>10</v>
      </c>
      <c r="D96" s="284">
        <v>0</v>
      </c>
      <c r="E96" s="295"/>
      <c r="F96" s="295">
        <f t="shared" si="0"/>
        <v>0</v>
      </c>
    </row>
    <row r="97" spans="1:6" s="752" customFormat="1">
      <c r="A97" s="282"/>
      <c r="B97" s="292" t="s">
        <v>525</v>
      </c>
      <c r="C97" s="286" t="s">
        <v>10</v>
      </c>
      <c r="D97" s="284">
        <v>0</v>
      </c>
      <c r="E97" s="295"/>
      <c r="F97" s="295">
        <f t="shared" si="0"/>
        <v>0</v>
      </c>
    </row>
    <row r="98" spans="1:6" s="752" customFormat="1">
      <c r="A98" s="282"/>
      <c r="B98" s="292" t="s">
        <v>524</v>
      </c>
      <c r="C98" s="286" t="s">
        <v>10</v>
      </c>
      <c r="D98" s="284">
        <v>0</v>
      </c>
      <c r="E98" s="295"/>
      <c r="F98" s="295">
        <f t="shared" si="0"/>
        <v>0</v>
      </c>
    </row>
    <row r="99" spans="1:6" s="752" customFormat="1">
      <c r="A99" s="282"/>
      <c r="B99" s="303"/>
      <c r="C99" s="286"/>
      <c r="D99" s="294"/>
      <c r="E99" s="295"/>
    </row>
    <row r="100" spans="1:6" s="752" customFormat="1" ht="15.75" thickBot="1">
      <c r="A100" s="304"/>
      <c r="B100" s="305" t="s">
        <v>523</v>
      </c>
      <c r="C100" s="306"/>
      <c r="D100" s="307"/>
      <c r="E100" s="306"/>
      <c r="F100" s="749">
        <f>SUM(F91:F98)</f>
        <v>0</v>
      </c>
    </row>
    <row r="101" spans="1:6" ht="15.75" thickTop="1"/>
    <row r="102" spans="1:6">
      <c r="F102" s="783">
        <f>+F100+F84+F72+F61+F21</f>
        <v>0</v>
      </c>
    </row>
  </sheetData>
  <sheetProtection algorithmName="SHA-512" hashValue="D0UE9RXKzDCClpq12ZhO4+EVxcXpT6YZ5CmqlX8dFeqbnT56M73bOVJV/QKxQiAyXKU837P4vCPvnCMDTDbzig==" saltValue="z5FjeSOtUZtQKNCs6W1WTw==" spinCount="100000" sheet="1" objects="1" scenarios="1" selectLockedCells="1"/>
  <customSheetViews>
    <customSheetView guid="{14FA32B8-8DA0-4B39-A6E2-254F8891DDCC}" scale="75" showPageBreaks="1" printArea="1" view="pageBreakPreview" topLeftCell="A66">
      <selection activeCell="B68" sqref="B68"/>
      <rowBreaks count="1" manualBreakCount="1">
        <brk id="52" max="5" man="1"/>
      </rowBreaks>
      <pageMargins left="0.7" right="0.7" top="0.75" bottom="0.75" header="0.3" footer="0.3"/>
      <pageSetup paperSize="9" scale="68"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67" orientation="portrait" r:id="rId2"/>
  <headerFooter>
    <oddHeader>&amp;CUREDITEV RAFUTSKEGA PARKA Z LAŠČAKOVO VILO - Park&amp;RLUZ, d.d.</oddHeader>
    <oddFooter>&amp;C&amp;P</oddFooter>
  </headerFooter>
  <rowBreaks count="1" manualBreakCount="1">
    <brk id="52"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tabColor theme="2" tint="-0.249977111117893"/>
  </sheetPr>
  <dimension ref="A1:I94"/>
  <sheetViews>
    <sheetView view="pageBreakPreview" zoomScale="80" zoomScaleNormal="100" zoomScaleSheetLayoutView="80" workbookViewId="0">
      <pane ySplit="6" topLeftCell="A81" activePane="bottomLeft" state="frozen"/>
      <selection pane="bottomLeft" activeCell="E9" sqref="E9"/>
    </sheetView>
  </sheetViews>
  <sheetFormatPr defaultColWidth="9.140625" defaultRowHeight="15"/>
  <cols>
    <col min="1" max="1" width="10.42578125" style="799" customWidth="1"/>
    <col min="2" max="2" width="75.5703125" style="799" customWidth="1"/>
    <col min="3" max="3" width="6.42578125" style="799" customWidth="1"/>
    <col min="4" max="4" width="7.28515625" style="799" customWidth="1"/>
    <col min="5" max="5" width="12.5703125" style="799" bestFit="1" customWidth="1"/>
    <col min="6" max="6" width="13.7109375" style="799" customWidth="1"/>
    <col min="7" max="7" width="9.140625" style="799"/>
    <col min="8" max="8" width="9.140625" style="799" customWidth="1"/>
    <col min="9" max="16384" width="9.140625" style="799"/>
  </cols>
  <sheetData>
    <row r="1" spans="1:9" s="571" customFormat="1">
      <c r="A1" s="1355" t="str">
        <f>Info!B1</f>
        <v>UREDITEV RAFUTSKEGA PARKA Z LAŠČAKOVO VILO - Park</v>
      </c>
      <c r="B1" s="1356"/>
      <c r="C1" s="1356"/>
      <c r="D1" s="1356"/>
      <c r="E1" s="1356"/>
      <c r="F1" s="1357"/>
    </row>
    <row r="2" spans="1:9" s="571" customFormat="1" ht="15.75" thickBot="1">
      <c r="A2" s="1358"/>
      <c r="B2" s="1359"/>
      <c r="C2" s="1359"/>
      <c r="D2" s="1359"/>
      <c r="E2" s="1359"/>
      <c r="F2" s="1360"/>
    </row>
    <row r="3" spans="1:9" s="571" customFormat="1" ht="15.75" thickBot="1">
      <c r="A3" s="1361"/>
      <c r="B3" s="1362"/>
      <c r="C3" s="5"/>
      <c r="D3" s="572"/>
      <c r="E3" s="573"/>
      <c r="F3" s="574"/>
    </row>
    <row r="4" spans="1:9" s="571" customFormat="1" ht="17.25">
      <c r="A4" s="1373" t="s">
        <v>635</v>
      </c>
      <c r="B4" s="1374"/>
      <c r="C4" s="1374"/>
      <c r="D4" s="1374"/>
      <c r="E4" s="1374"/>
      <c r="F4" s="1375"/>
    </row>
    <row r="5" spans="1:9" s="571" customFormat="1">
      <c r="A5" s="577"/>
      <c r="B5" s="578"/>
      <c r="C5" s="579"/>
      <c r="D5" s="579"/>
      <c r="E5" s="580"/>
      <c r="F5" s="580"/>
    </row>
    <row r="6" spans="1:9" s="571" customFormat="1" ht="85.5">
      <c r="A6" s="582" t="s">
        <v>1</v>
      </c>
      <c r="B6" s="583" t="s">
        <v>2</v>
      </c>
      <c r="C6" s="584" t="s">
        <v>4</v>
      </c>
      <c r="D6" s="585" t="s">
        <v>9</v>
      </c>
      <c r="E6" s="586" t="s">
        <v>5</v>
      </c>
      <c r="F6" s="588" t="s">
        <v>1612</v>
      </c>
    </row>
    <row r="7" spans="1:9" ht="15.75" thickBot="1">
      <c r="A7" s="793"/>
      <c r="B7" s="794"/>
      <c r="C7" s="795"/>
      <c r="D7" s="796"/>
      <c r="E7" s="797"/>
      <c r="F7" s="797"/>
      <c r="G7" s="798"/>
    </row>
    <row r="8" spans="1:9" s="571" customFormat="1" ht="17.25">
      <c r="A8" s="784" t="s">
        <v>632</v>
      </c>
      <c r="B8" s="784" t="s">
        <v>170</v>
      </c>
      <c r="C8" s="785"/>
      <c r="D8" s="786"/>
      <c r="E8" s="787"/>
      <c r="F8" s="788"/>
    </row>
    <row r="9" spans="1:9" s="802" customFormat="1" ht="26.25">
      <c r="A9" s="320" t="s">
        <v>597</v>
      </c>
      <c r="B9" s="323" t="s">
        <v>596</v>
      </c>
      <c r="C9" s="324" t="s">
        <v>543</v>
      </c>
      <c r="D9" s="800">
        <v>34.340000000000003</v>
      </c>
      <c r="E9" s="334"/>
      <c r="F9" s="342">
        <f>D9*E9</f>
        <v>0</v>
      </c>
      <c r="H9" s="325"/>
      <c r="I9" s="325"/>
    </row>
    <row r="10" spans="1:9" s="802" customFormat="1">
      <c r="A10" s="320"/>
      <c r="B10" s="323"/>
      <c r="C10" s="324"/>
      <c r="D10" s="322"/>
      <c r="E10" s="342"/>
      <c r="F10" s="342"/>
      <c r="H10" s="325"/>
      <c r="I10" s="325"/>
    </row>
    <row r="11" spans="1:9" s="802" customFormat="1" ht="26.25">
      <c r="A11" s="320" t="s">
        <v>595</v>
      </c>
      <c r="B11" s="323" t="s">
        <v>594</v>
      </c>
      <c r="C11" s="324" t="s">
        <v>549</v>
      </c>
      <c r="D11" s="322">
        <v>5</v>
      </c>
      <c r="E11" s="334"/>
      <c r="F11" s="342">
        <f>D11*E11</f>
        <v>0</v>
      </c>
      <c r="H11" s="325"/>
      <c r="I11" s="325"/>
    </row>
    <row r="12" spans="1:9" s="802" customFormat="1">
      <c r="A12" s="320"/>
      <c r="B12" s="323"/>
      <c r="C12" s="324"/>
      <c r="D12" s="322"/>
      <c r="E12" s="342"/>
      <c r="F12" s="342"/>
      <c r="H12" s="325"/>
      <c r="I12" s="325"/>
    </row>
    <row r="13" spans="1:9" s="802" customFormat="1" ht="26.25">
      <c r="A13" s="320" t="s">
        <v>593</v>
      </c>
      <c r="B13" s="323" t="s">
        <v>1422</v>
      </c>
      <c r="C13" s="324" t="s">
        <v>70</v>
      </c>
      <c r="D13" s="800">
        <v>34.340000000000003</v>
      </c>
      <c r="E13" s="334"/>
      <c r="F13" s="342">
        <f>D13*E13</f>
        <v>0</v>
      </c>
      <c r="H13" s="325"/>
      <c r="I13" s="325"/>
    </row>
    <row r="14" spans="1:9" s="802" customFormat="1">
      <c r="A14" s="320"/>
      <c r="B14" s="323"/>
      <c r="C14" s="324"/>
      <c r="D14" s="322"/>
      <c r="E14" s="801"/>
      <c r="F14" s="342"/>
      <c r="H14" s="325"/>
      <c r="I14" s="325"/>
    </row>
    <row r="15" spans="1:9" s="802" customFormat="1" ht="26.25">
      <c r="A15" s="320" t="s">
        <v>592</v>
      </c>
      <c r="B15" s="323" t="s">
        <v>590</v>
      </c>
      <c r="C15" s="324" t="s">
        <v>549</v>
      </c>
      <c r="D15" s="322">
        <v>1</v>
      </c>
      <c r="E15" s="334"/>
      <c r="F15" s="342">
        <f>D15*E15</f>
        <v>0</v>
      </c>
      <c r="H15" s="325"/>
      <c r="I15" s="325"/>
    </row>
    <row r="16" spans="1:9" s="802" customFormat="1">
      <c r="A16" s="320"/>
      <c r="B16" s="323"/>
      <c r="C16" s="324"/>
      <c r="D16" s="325"/>
      <c r="E16" s="342"/>
      <c r="F16" s="342"/>
      <c r="H16" s="325"/>
      <c r="I16" s="325"/>
    </row>
    <row r="17" spans="1:9" s="802" customFormat="1" ht="39">
      <c r="A17" s="320" t="s">
        <v>591</v>
      </c>
      <c r="B17" s="321" t="s">
        <v>621</v>
      </c>
      <c r="C17" s="327"/>
      <c r="D17" s="327"/>
      <c r="E17" s="327"/>
      <c r="F17" s="342"/>
      <c r="H17" s="325"/>
      <c r="I17" s="325"/>
    </row>
    <row r="18" spans="1:9" s="802" customFormat="1">
      <c r="A18" s="320"/>
      <c r="B18" s="323" t="s">
        <v>586</v>
      </c>
      <c r="C18" s="328" t="s">
        <v>70</v>
      </c>
      <c r="D18" s="800">
        <v>34.340000000000003</v>
      </c>
      <c r="E18" s="334"/>
      <c r="F18" s="342">
        <f>D18*E18</f>
        <v>0</v>
      </c>
      <c r="H18" s="325"/>
      <c r="I18" s="325"/>
    </row>
    <row r="19" spans="1:9" s="802" customFormat="1">
      <c r="A19" s="320"/>
      <c r="B19" s="323" t="s">
        <v>585</v>
      </c>
      <c r="C19" s="328" t="s">
        <v>70</v>
      </c>
      <c r="D19" s="800">
        <v>34.340000000000003</v>
      </c>
      <c r="E19" s="334"/>
      <c r="F19" s="342">
        <f>D19*E19</f>
        <v>0</v>
      </c>
      <c r="H19" s="325"/>
      <c r="I19" s="325"/>
    </row>
    <row r="20" spans="1:9" s="802" customFormat="1">
      <c r="A20" s="343"/>
      <c r="B20" s="325"/>
      <c r="C20" s="325"/>
      <c r="D20" s="325"/>
      <c r="E20" s="801"/>
      <c r="F20" s="325"/>
      <c r="H20" s="325"/>
      <c r="I20" s="325"/>
    </row>
    <row r="21" spans="1:9" s="802" customFormat="1" ht="15.75" thickBot="1">
      <c r="A21" s="803"/>
      <c r="B21" s="345" t="s">
        <v>579</v>
      </c>
      <c r="C21" s="804"/>
      <c r="D21" s="805"/>
      <c r="E21" s="806"/>
      <c r="F21" s="807">
        <f>SUM(F9:F20)</f>
        <v>0</v>
      </c>
      <c r="H21" s="325"/>
      <c r="I21" s="325"/>
    </row>
    <row r="22" spans="1:9" s="802" customFormat="1" ht="15.75" thickTop="1">
      <c r="A22" s="336"/>
      <c r="B22" s="337"/>
      <c r="C22" s="330"/>
      <c r="D22" s="338"/>
      <c r="E22" s="331"/>
      <c r="F22" s="339"/>
      <c r="H22" s="325"/>
      <c r="I22" s="325"/>
    </row>
    <row r="23" spans="1:9" s="810" customFormat="1">
      <c r="A23" s="793"/>
      <c r="B23" s="798"/>
      <c r="C23" s="808"/>
      <c r="D23" s="809"/>
      <c r="E23" s="797"/>
      <c r="F23" s="797"/>
      <c r="H23" s="798"/>
      <c r="I23" s="798"/>
    </row>
    <row r="24" spans="1:9" s="810" customFormat="1" ht="15.75">
      <c r="A24" s="811" t="s">
        <v>578</v>
      </c>
      <c r="B24" s="811" t="s">
        <v>171</v>
      </c>
      <c r="C24" s="795"/>
      <c r="D24" s="796"/>
      <c r="E24" s="797"/>
      <c r="F24" s="797"/>
      <c r="H24" s="798"/>
      <c r="I24" s="798"/>
    </row>
    <row r="25" spans="1:9" s="810" customFormat="1" ht="15.75">
      <c r="A25" s="811"/>
      <c r="B25" s="811"/>
      <c r="C25" s="795"/>
      <c r="D25" s="796"/>
      <c r="E25" s="797"/>
      <c r="F25" s="797"/>
      <c r="H25" s="798"/>
      <c r="I25" s="798"/>
    </row>
    <row r="26" spans="1:9" s="810" customFormat="1" ht="15.75">
      <c r="A26" s="811"/>
      <c r="B26" s="811" t="s">
        <v>620</v>
      </c>
      <c r="C26" s="795"/>
      <c r="D26" s="796"/>
      <c r="E26" s="797"/>
      <c r="F26" s="797"/>
      <c r="H26" s="798"/>
      <c r="I26" s="798"/>
    </row>
    <row r="27" spans="1:9" s="810" customFormat="1" ht="26.25">
      <c r="A27" s="811"/>
      <c r="B27" s="323" t="s">
        <v>614</v>
      </c>
      <c r="C27" s="795"/>
      <c r="D27" s="796"/>
      <c r="E27" s="797"/>
      <c r="F27" s="797"/>
      <c r="H27" s="798"/>
      <c r="I27" s="798"/>
    </row>
    <row r="28" spans="1:9" s="810" customFormat="1" ht="15.75">
      <c r="A28" s="811"/>
      <c r="B28" s="323" t="s">
        <v>613</v>
      </c>
      <c r="C28" s="795"/>
      <c r="D28" s="796"/>
      <c r="E28" s="797"/>
      <c r="F28" s="797"/>
      <c r="H28" s="798"/>
      <c r="I28" s="798"/>
    </row>
    <row r="29" spans="1:9" s="810" customFormat="1" ht="15.75">
      <c r="A29" s="811"/>
      <c r="B29" s="323"/>
      <c r="C29" s="795"/>
      <c r="D29" s="796"/>
      <c r="E29" s="797"/>
      <c r="F29" s="797"/>
      <c r="H29" s="798"/>
      <c r="I29" s="798"/>
    </row>
    <row r="30" spans="1:9" s="810" customFormat="1" ht="15.75">
      <c r="A30" s="811"/>
      <c r="B30" s="323"/>
      <c r="C30" s="795"/>
      <c r="D30" s="796"/>
      <c r="E30" s="797"/>
      <c r="F30" s="797"/>
      <c r="H30" s="798"/>
      <c r="I30" s="798"/>
    </row>
    <row r="31" spans="1:9" s="810" customFormat="1" ht="25.5">
      <c r="A31" s="320" t="s">
        <v>573</v>
      </c>
      <c r="B31" s="329" t="s">
        <v>612</v>
      </c>
      <c r="C31" s="330" t="s">
        <v>11</v>
      </c>
      <c r="D31" s="800">
        <v>4</v>
      </c>
      <c r="E31" s="842"/>
      <c r="F31" s="332">
        <f>D31*E31</f>
        <v>0</v>
      </c>
      <c r="H31" s="798"/>
      <c r="I31" s="798"/>
    </row>
    <row r="32" spans="1:9" s="810" customFormat="1" ht="15.75">
      <c r="A32" s="811"/>
      <c r="B32" s="323"/>
      <c r="C32" s="795"/>
      <c r="D32" s="796"/>
      <c r="E32" s="797"/>
      <c r="F32" s="797"/>
      <c r="H32" s="798"/>
      <c r="I32" s="798"/>
    </row>
    <row r="33" spans="1:9" s="810" customFormat="1" ht="26.25">
      <c r="A33" s="793" t="s">
        <v>571</v>
      </c>
      <c r="B33" s="323" t="s">
        <v>572</v>
      </c>
      <c r="C33" s="324" t="s">
        <v>11</v>
      </c>
      <c r="D33" s="800">
        <v>30.34</v>
      </c>
      <c r="E33" s="326"/>
      <c r="F33" s="342">
        <f>D33*E33</f>
        <v>0</v>
      </c>
      <c r="H33" s="798"/>
      <c r="I33" s="798"/>
    </row>
    <row r="34" spans="1:9" s="810" customFormat="1" ht="15.75">
      <c r="A34" s="793"/>
      <c r="B34" s="811"/>
      <c r="C34" s="795"/>
      <c r="D34" s="796"/>
      <c r="E34" s="797"/>
      <c r="F34" s="797"/>
      <c r="H34" s="798"/>
      <c r="I34" s="798"/>
    </row>
    <row r="35" spans="1:9" s="810" customFormat="1" ht="39">
      <c r="A35" s="793" t="s">
        <v>570</v>
      </c>
      <c r="B35" s="812" t="s">
        <v>611</v>
      </c>
      <c r="C35" s="795" t="s">
        <v>40</v>
      </c>
      <c r="D35" s="813">
        <f>42.19*0.9</f>
        <v>37.970999999999997</v>
      </c>
      <c r="E35" s="843"/>
      <c r="F35" s="797">
        <f>D35*E35</f>
        <v>0</v>
      </c>
      <c r="H35" s="798"/>
      <c r="I35" s="798"/>
    </row>
    <row r="36" spans="1:9" s="810" customFormat="1">
      <c r="A36" s="815"/>
      <c r="B36" s="812"/>
      <c r="C36" s="795"/>
      <c r="D36" s="813"/>
      <c r="E36" s="814"/>
      <c r="F36" s="797"/>
      <c r="H36" s="798"/>
      <c r="I36" s="798"/>
    </row>
    <row r="37" spans="1:9" s="810" customFormat="1" ht="39">
      <c r="A37" s="793" t="s">
        <v>568</v>
      </c>
      <c r="B37" s="812" t="s">
        <v>569</v>
      </c>
      <c r="C37" s="795" t="s">
        <v>40</v>
      </c>
      <c r="D37" s="813">
        <f>42.19*0.1</f>
        <v>4.2190000000000003</v>
      </c>
      <c r="E37" s="843"/>
      <c r="F37" s="797">
        <f>D37*E37</f>
        <v>0</v>
      </c>
      <c r="H37" s="798"/>
      <c r="I37" s="798"/>
    </row>
    <row r="38" spans="1:9" s="810" customFormat="1">
      <c r="A38" s="320"/>
      <c r="B38" s="333"/>
      <c r="C38" s="324"/>
      <c r="D38" s="322"/>
      <c r="E38" s="342"/>
      <c r="F38" s="797"/>
      <c r="H38" s="798"/>
      <c r="I38" s="798"/>
    </row>
    <row r="39" spans="1:9" s="810" customFormat="1" ht="26.25">
      <c r="A39" s="793" t="s">
        <v>565</v>
      </c>
      <c r="B39" s="816" t="s">
        <v>567</v>
      </c>
      <c r="C39" s="795" t="s">
        <v>566</v>
      </c>
      <c r="D39" s="800">
        <v>34.340000000000003</v>
      </c>
      <c r="E39" s="843"/>
      <c r="F39" s="797">
        <f>D39*E39</f>
        <v>0</v>
      </c>
      <c r="H39" s="798"/>
      <c r="I39" s="798"/>
    </row>
    <row r="40" spans="1:9" s="810" customFormat="1">
      <c r="A40" s="817"/>
      <c r="B40" s="816"/>
      <c r="C40" s="795"/>
      <c r="D40" s="800"/>
      <c r="E40" s="814"/>
      <c r="F40" s="797"/>
      <c r="H40" s="798"/>
      <c r="I40" s="798"/>
    </row>
    <row r="41" spans="1:9" s="810" customFormat="1" ht="39">
      <c r="A41" s="793" t="s">
        <v>563</v>
      </c>
      <c r="B41" s="816" t="s">
        <v>564</v>
      </c>
      <c r="C41" s="795" t="s">
        <v>40</v>
      </c>
      <c r="D41" s="800">
        <v>2.4900000000000002</v>
      </c>
      <c r="E41" s="843"/>
      <c r="F41" s="797">
        <f>D41*E41</f>
        <v>0</v>
      </c>
      <c r="H41" s="798"/>
      <c r="I41" s="798"/>
    </row>
    <row r="42" spans="1:9" s="810" customFormat="1">
      <c r="A42" s="815"/>
      <c r="B42" s="818"/>
      <c r="C42" s="795"/>
      <c r="D42" s="800"/>
      <c r="E42" s="797"/>
      <c r="F42" s="797"/>
      <c r="H42" s="798"/>
      <c r="I42" s="798"/>
    </row>
    <row r="43" spans="1:9" s="810" customFormat="1" ht="51.75">
      <c r="A43" s="793" t="s">
        <v>561</v>
      </c>
      <c r="B43" s="819" t="s">
        <v>562</v>
      </c>
      <c r="C43" s="795" t="s">
        <v>40</v>
      </c>
      <c r="D43" s="820">
        <v>9.56</v>
      </c>
      <c r="E43" s="843"/>
      <c r="F43" s="797">
        <f>D43*E43</f>
        <v>0</v>
      </c>
      <c r="H43" s="798"/>
      <c r="I43" s="798"/>
    </row>
    <row r="44" spans="1:9" s="810" customFormat="1">
      <c r="A44" s="793"/>
      <c r="B44" s="819"/>
      <c r="C44" s="795"/>
      <c r="D44" s="820"/>
      <c r="E44" s="814"/>
      <c r="F44" s="797"/>
      <c r="H44" s="798"/>
      <c r="I44" s="798"/>
    </row>
    <row r="45" spans="1:9" s="810" customFormat="1" ht="26.25">
      <c r="A45" s="793" t="s">
        <v>559</v>
      </c>
      <c r="B45" s="812" t="s">
        <v>560</v>
      </c>
      <c r="C45" s="795" t="s">
        <v>40</v>
      </c>
      <c r="D45" s="800">
        <v>16.13</v>
      </c>
      <c r="E45" s="843"/>
      <c r="F45" s="797">
        <f>D45*E45</f>
        <v>0</v>
      </c>
      <c r="H45" s="798"/>
      <c r="I45" s="798"/>
    </row>
    <row r="46" spans="1:9" s="810" customFormat="1">
      <c r="A46" s="793"/>
      <c r="B46" s="812"/>
      <c r="C46" s="795"/>
      <c r="D46" s="800"/>
      <c r="E46" s="814"/>
      <c r="F46" s="797"/>
      <c r="H46" s="798"/>
      <c r="I46" s="798"/>
    </row>
    <row r="47" spans="1:9" s="810" customFormat="1" ht="26.25">
      <c r="A47" s="320" t="s">
        <v>557</v>
      </c>
      <c r="B47" s="812" t="s">
        <v>607</v>
      </c>
      <c r="C47" s="795" t="s">
        <v>40</v>
      </c>
      <c r="D47" s="800">
        <v>12.05</v>
      </c>
      <c r="E47" s="843"/>
      <c r="F47" s="797">
        <f>D47*E47</f>
        <v>0</v>
      </c>
      <c r="H47" s="798"/>
      <c r="I47" s="798"/>
    </row>
    <row r="48" spans="1:9" s="810" customFormat="1">
      <c r="A48" s="815"/>
      <c r="B48" s="812"/>
      <c r="C48" s="795"/>
      <c r="D48" s="800"/>
      <c r="E48" s="814"/>
      <c r="F48" s="797"/>
      <c r="H48" s="798"/>
      <c r="I48" s="798"/>
    </row>
    <row r="49" spans="1:9" s="810" customFormat="1">
      <c r="A49" s="793" t="s">
        <v>555</v>
      </c>
      <c r="B49" s="333" t="s">
        <v>556</v>
      </c>
      <c r="C49" s="324" t="s">
        <v>116</v>
      </c>
      <c r="D49" s="800">
        <v>4</v>
      </c>
      <c r="E49" s="334"/>
      <c r="F49" s="342">
        <f>D49*E49</f>
        <v>0</v>
      </c>
      <c r="H49" s="798"/>
      <c r="I49" s="798"/>
    </row>
    <row r="50" spans="1:9" s="810" customFormat="1">
      <c r="A50" s="815"/>
      <c r="B50" s="816"/>
      <c r="C50" s="795"/>
      <c r="D50" s="796"/>
      <c r="E50" s="797"/>
      <c r="F50" s="797"/>
      <c r="H50" s="798"/>
      <c r="I50" s="798"/>
    </row>
    <row r="51" spans="1:9" s="810" customFormat="1" ht="15.75" thickBot="1">
      <c r="A51" s="821"/>
      <c r="B51" s="822" t="s">
        <v>554</v>
      </c>
      <c r="C51" s="823"/>
      <c r="D51" s="824"/>
      <c r="E51" s="825"/>
      <c r="F51" s="807">
        <f>SUM(F29:F49)</f>
        <v>0</v>
      </c>
      <c r="H51" s="798"/>
      <c r="I51" s="798"/>
    </row>
    <row r="52" spans="1:9" s="810" customFormat="1" ht="15.75" thickTop="1">
      <c r="A52" s="793"/>
      <c r="B52" s="826"/>
      <c r="C52" s="827"/>
      <c r="D52" s="828"/>
      <c r="E52" s="829"/>
      <c r="F52" s="830"/>
      <c r="H52" s="798"/>
      <c r="I52" s="798"/>
    </row>
    <row r="53" spans="1:9" s="810" customFormat="1">
      <c r="A53" s="831"/>
      <c r="B53" s="333"/>
      <c r="C53" s="827"/>
      <c r="D53" s="828"/>
      <c r="E53" s="829"/>
      <c r="F53" s="830"/>
      <c r="H53" s="798"/>
      <c r="I53" s="798"/>
    </row>
    <row r="54" spans="1:9" s="810" customFormat="1" ht="15.75">
      <c r="A54" s="811" t="s">
        <v>553</v>
      </c>
      <c r="B54" s="811" t="s">
        <v>100</v>
      </c>
      <c r="C54" s="795"/>
      <c r="D54" s="796"/>
      <c r="E54" s="797"/>
      <c r="F54" s="797"/>
      <c r="H54" s="798"/>
      <c r="I54" s="798"/>
    </row>
    <row r="55" spans="1:9" s="810" customFormat="1" ht="15.75">
      <c r="A55" s="811"/>
      <c r="B55" s="811"/>
      <c r="C55" s="795"/>
      <c r="D55" s="796"/>
      <c r="E55" s="797"/>
      <c r="F55" s="797"/>
      <c r="H55" s="798"/>
      <c r="I55" s="798"/>
    </row>
    <row r="56" spans="1:9" s="810" customFormat="1" ht="26.25">
      <c r="A56" s="793"/>
      <c r="B56" s="773" t="s">
        <v>1592</v>
      </c>
      <c r="C56" s="795"/>
      <c r="D56" s="800"/>
      <c r="E56" s="797"/>
      <c r="F56" s="797"/>
      <c r="H56" s="798"/>
      <c r="I56" s="798"/>
    </row>
    <row r="57" spans="1:9" s="810" customFormat="1">
      <c r="A57" s="793"/>
      <c r="B57" s="773"/>
      <c r="C57" s="795"/>
      <c r="D57" s="800"/>
      <c r="E57" s="797"/>
      <c r="F57" s="797"/>
      <c r="H57" s="798"/>
      <c r="I57" s="798"/>
    </row>
    <row r="58" spans="1:9" s="810" customFormat="1" ht="26.25">
      <c r="A58" s="320" t="s">
        <v>552</v>
      </c>
      <c r="B58" s="333" t="s">
        <v>619</v>
      </c>
      <c r="C58" s="324" t="s">
        <v>549</v>
      </c>
      <c r="D58" s="322">
        <v>1</v>
      </c>
      <c r="E58" s="334"/>
      <c r="F58" s="342">
        <f>D58*E58</f>
        <v>0</v>
      </c>
      <c r="H58" s="798"/>
      <c r="I58" s="798"/>
    </row>
    <row r="59" spans="1:9" s="810" customFormat="1">
      <c r="A59" s="320"/>
      <c r="B59" s="333"/>
      <c r="C59" s="324"/>
      <c r="D59" s="322"/>
      <c r="E59" s="801"/>
      <c r="F59" s="342"/>
      <c r="H59" s="798"/>
      <c r="I59" s="798"/>
    </row>
    <row r="60" spans="1:9" s="810" customFormat="1" ht="90">
      <c r="A60" s="738" t="s">
        <v>551</v>
      </c>
      <c r="B60" s="773" t="s">
        <v>1441</v>
      </c>
      <c r="C60" s="311" t="s">
        <v>10</v>
      </c>
      <c r="D60" s="743">
        <v>1</v>
      </c>
      <c r="E60" s="735"/>
      <c r="F60" s="312">
        <f>D60*E60</f>
        <v>0</v>
      </c>
      <c r="H60" s="798"/>
      <c r="I60" s="798"/>
    </row>
    <row r="61" spans="1:9" s="810" customFormat="1">
      <c r="A61" s="738"/>
      <c r="B61" s="773"/>
      <c r="C61" s="311"/>
      <c r="D61" s="743"/>
      <c r="E61" s="312"/>
      <c r="F61" s="312"/>
      <c r="H61" s="798"/>
      <c r="I61" s="798"/>
    </row>
    <row r="62" spans="1:9" s="810" customFormat="1" ht="90">
      <c r="A62" s="738" t="s">
        <v>599</v>
      </c>
      <c r="B62" s="832" t="s">
        <v>1442</v>
      </c>
      <c r="C62" s="311" t="s">
        <v>1443</v>
      </c>
      <c r="D62" s="743">
        <v>1</v>
      </c>
      <c r="E62" s="735"/>
      <c r="F62" s="312">
        <f>D62*E62</f>
        <v>0</v>
      </c>
      <c r="H62" s="798"/>
      <c r="I62" s="798"/>
    </row>
    <row r="63" spans="1:9" s="810" customFormat="1">
      <c r="A63" s="793"/>
      <c r="B63" s="794"/>
      <c r="C63" s="795"/>
      <c r="D63" s="796"/>
      <c r="E63" s="797"/>
      <c r="F63" s="797"/>
      <c r="H63" s="798"/>
      <c r="I63" s="798"/>
    </row>
    <row r="64" spans="1:9" s="810" customFormat="1" ht="15.75" thickBot="1">
      <c r="A64" s="821"/>
      <c r="B64" s="822" t="s">
        <v>548</v>
      </c>
      <c r="C64" s="823"/>
      <c r="D64" s="824"/>
      <c r="E64" s="825"/>
      <c r="F64" s="807">
        <f>SUM(F58:F62)</f>
        <v>0</v>
      </c>
      <c r="H64" s="798"/>
      <c r="I64" s="798"/>
    </row>
    <row r="65" spans="1:9" s="810" customFormat="1" ht="15.75" thickTop="1">
      <c r="A65" s="831"/>
      <c r="B65" s="826"/>
      <c r="C65" s="827"/>
      <c r="D65" s="828"/>
      <c r="E65" s="829"/>
      <c r="F65" s="830"/>
      <c r="H65" s="798"/>
      <c r="I65" s="798"/>
    </row>
    <row r="66" spans="1:9" s="810" customFormat="1" ht="15.75">
      <c r="A66" s="811" t="s">
        <v>547</v>
      </c>
      <c r="B66" s="811" t="s">
        <v>546</v>
      </c>
      <c r="C66" s="795"/>
      <c r="D66" s="796"/>
      <c r="E66" s="797"/>
      <c r="F66" s="797"/>
      <c r="H66" s="798"/>
      <c r="I66" s="798"/>
    </row>
    <row r="67" spans="1:9" s="810" customFormat="1" ht="15.75">
      <c r="A67" s="811"/>
      <c r="B67" s="811"/>
      <c r="C67" s="795"/>
      <c r="D67" s="796"/>
      <c r="E67" s="797"/>
      <c r="F67" s="797"/>
      <c r="H67" s="798"/>
      <c r="I67" s="798"/>
    </row>
    <row r="68" spans="1:9" s="810" customFormat="1" ht="51.75">
      <c r="A68" s="320" t="s">
        <v>545</v>
      </c>
      <c r="B68" s="335" t="s">
        <v>618</v>
      </c>
      <c r="C68" s="324" t="s">
        <v>543</v>
      </c>
      <c r="D68" s="800">
        <v>34.340000000000003</v>
      </c>
      <c r="E68" s="326"/>
      <c r="F68" s="342">
        <f>D68*E68</f>
        <v>0</v>
      </c>
      <c r="H68" s="798"/>
      <c r="I68" s="798"/>
    </row>
    <row r="69" spans="1:9" s="810" customFormat="1">
      <c r="A69" s="793"/>
      <c r="B69" s="816"/>
      <c r="C69" s="795"/>
      <c r="D69" s="800"/>
      <c r="E69" s="814"/>
      <c r="F69" s="797"/>
      <c r="H69" s="798"/>
      <c r="I69" s="798"/>
    </row>
    <row r="70" spans="1:9" s="810" customFormat="1">
      <c r="A70" s="320" t="s">
        <v>542</v>
      </c>
      <c r="B70" s="333" t="s">
        <v>541</v>
      </c>
      <c r="C70" s="324" t="s">
        <v>70</v>
      </c>
      <c r="D70" s="800">
        <v>34.340000000000003</v>
      </c>
      <c r="E70" s="334"/>
      <c r="F70" s="342">
        <f>D70*E70</f>
        <v>0</v>
      </c>
      <c r="H70" s="798"/>
      <c r="I70" s="798"/>
    </row>
    <row r="71" spans="1:9" s="810" customFormat="1">
      <c r="A71" s="336"/>
      <c r="B71" s="337"/>
      <c r="C71" s="330"/>
      <c r="D71" s="338"/>
      <c r="E71" s="331"/>
      <c r="F71" s="339"/>
      <c r="H71" s="798"/>
      <c r="I71" s="798"/>
    </row>
    <row r="72" spans="1:9" s="810" customFormat="1" ht="26.25">
      <c r="A72" s="320" t="s">
        <v>540</v>
      </c>
      <c r="B72" s="333" t="s">
        <v>539</v>
      </c>
      <c r="C72" s="324" t="s">
        <v>70</v>
      </c>
      <c r="D72" s="800">
        <v>34.340000000000003</v>
      </c>
      <c r="E72" s="334"/>
      <c r="F72" s="342">
        <f>E72*D72</f>
        <v>0</v>
      </c>
      <c r="H72" s="798"/>
      <c r="I72" s="798"/>
    </row>
    <row r="73" spans="1:9" s="810" customFormat="1">
      <c r="A73" s="320"/>
      <c r="B73" s="333"/>
      <c r="C73" s="324"/>
      <c r="D73" s="322"/>
      <c r="E73" s="801"/>
      <c r="F73" s="342"/>
      <c r="H73" s="798"/>
      <c r="I73" s="798"/>
    </row>
    <row r="74" spans="1:9" s="810" customFormat="1">
      <c r="A74" s="320" t="s">
        <v>538</v>
      </c>
      <c r="B74" s="333" t="s">
        <v>537</v>
      </c>
      <c r="C74" s="324" t="s">
        <v>70</v>
      </c>
      <c r="D74" s="800">
        <v>34.340000000000003</v>
      </c>
      <c r="E74" s="334"/>
      <c r="F74" s="342">
        <f>D74*E74</f>
        <v>0</v>
      </c>
      <c r="H74" s="798"/>
      <c r="I74" s="798"/>
    </row>
    <row r="75" spans="1:9" s="810" customFormat="1">
      <c r="A75" s="793"/>
      <c r="B75" s="794"/>
      <c r="C75" s="795"/>
      <c r="D75" s="796"/>
      <c r="E75" s="797"/>
      <c r="F75" s="797"/>
      <c r="H75" s="798"/>
      <c r="I75" s="798"/>
    </row>
    <row r="76" spans="1:9" s="810" customFormat="1" ht="15.75" thickBot="1">
      <c r="A76" s="833"/>
      <c r="B76" s="822" t="s">
        <v>536</v>
      </c>
      <c r="C76" s="834"/>
      <c r="D76" s="835"/>
      <c r="E76" s="836"/>
      <c r="F76" s="807">
        <f>SUM(F68:F74)</f>
        <v>0</v>
      </c>
      <c r="H76" s="798"/>
      <c r="I76" s="798"/>
    </row>
    <row r="77" spans="1:9" s="810" customFormat="1" ht="15.75" thickTop="1">
      <c r="A77" s="837"/>
      <c r="B77" s="826"/>
      <c r="C77" s="838"/>
      <c r="D77" s="839"/>
      <c r="E77" s="830"/>
      <c r="F77" s="830"/>
      <c r="H77" s="798"/>
      <c r="I77" s="798"/>
    </row>
    <row r="78" spans="1:9" s="810" customFormat="1">
      <c r="A78" s="837"/>
      <c r="B78" s="826"/>
      <c r="C78" s="838"/>
      <c r="D78" s="839"/>
      <c r="E78" s="830"/>
      <c r="F78" s="830"/>
      <c r="H78" s="798"/>
      <c r="I78" s="798"/>
    </row>
    <row r="79" spans="1:9" s="810" customFormat="1" ht="15.75">
      <c r="A79" s="340" t="s">
        <v>535</v>
      </c>
      <c r="B79" s="340" t="s">
        <v>534</v>
      </c>
      <c r="C79" s="324"/>
      <c r="D79" s="341"/>
      <c r="E79" s="342"/>
      <c r="F79" s="840"/>
      <c r="H79" s="840"/>
    </row>
    <row r="80" spans="1:9" s="810" customFormat="1">
      <c r="A80" s="320"/>
      <c r="B80" s="343"/>
      <c r="C80" s="324"/>
      <c r="D80" s="341"/>
      <c r="E80" s="342"/>
      <c r="F80" s="840"/>
      <c r="H80" s="840"/>
    </row>
    <row r="81" spans="1:8" s="810" customFormat="1">
      <c r="A81" s="320" t="s">
        <v>533</v>
      </c>
      <c r="B81" s="333" t="s">
        <v>532</v>
      </c>
      <c r="C81" s="324"/>
      <c r="D81" s="322"/>
      <c r="E81" s="342"/>
      <c r="F81" s="840"/>
      <c r="H81" s="840"/>
    </row>
    <row r="82" spans="1:8" s="810" customFormat="1">
      <c r="A82" s="336"/>
      <c r="B82" s="337"/>
      <c r="C82" s="330"/>
      <c r="D82" s="338"/>
      <c r="E82" s="339"/>
    </row>
    <row r="83" spans="1:8" s="810" customFormat="1">
      <c r="A83" s="320"/>
      <c r="B83" s="333" t="s">
        <v>531</v>
      </c>
      <c r="C83" s="324" t="s">
        <v>10</v>
      </c>
      <c r="D83" s="322">
        <v>0</v>
      </c>
      <c r="E83" s="342"/>
      <c r="F83" s="342">
        <f t="shared" ref="F83:F90" si="0">D83*E83</f>
        <v>0</v>
      </c>
    </row>
    <row r="84" spans="1:8" s="810" customFormat="1">
      <c r="A84" s="320"/>
      <c r="B84" s="333" t="s">
        <v>530</v>
      </c>
      <c r="C84" s="324" t="s">
        <v>10</v>
      </c>
      <c r="D84" s="322">
        <v>1</v>
      </c>
      <c r="E84" s="326"/>
      <c r="F84" s="342">
        <f t="shared" si="0"/>
        <v>0</v>
      </c>
    </row>
    <row r="85" spans="1:8" s="810" customFormat="1">
      <c r="A85" s="320"/>
      <c r="B85" s="333" t="s">
        <v>529</v>
      </c>
      <c r="C85" s="324" t="s">
        <v>10</v>
      </c>
      <c r="D85" s="322">
        <v>1</v>
      </c>
      <c r="E85" s="326"/>
      <c r="F85" s="342">
        <f t="shared" si="0"/>
        <v>0</v>
      </c>
    </row>
    <row r="86" spans="1:8" s="810" customFormat="1">
      <c r="A86" s="320"/>
      <c r="B86" s="333" t="s">
        <v>528</v>
      </c>
      <c r="C86" s="324" t="s">
        <v>10</v>
      </c>
      <c r="D86" s="322">
        <v>1</v>
      </c>
      <c r="E86" s="326"/>
      <c r="F86" s="342">
        <f t="shared" si="0"/>
        <v>0</v>
      </c>
    </row>
    <row r="87" spans="1:8" s="810" customFormat="1">
      <c r="A87" s="320"/>
      <c r="B87" s="333" t="s">
        <v>527</v>
      </c>
      <c r="C87" s="324" t="s">
        <v>10</v>
      </c>
      <c r="D87" s="322">
        <v>0</v>
      </c>
      <c r="E87" s="342"/>
      <c r="F87" s="342">
        <f t="shared" si="0"/>
        <v>0</v>
      </c>
    </row>
    <row r="88" spans="1:8" s="810" customFormat="1">
      <c r="A88" s="320"/>
      <c r="B88" s="333" t="s">
        <v>526</v>
      </c>
      <c r="C88" s="324" t="s">
        <v>10</v>
      </c>
      <c r="D88" s="322">
        <v>0</v>
      </c>
      <c r="E88" s="342"/>
      <c r="F88" s="342">
        <f t="shared" si="0"/>
        <v>0</v>
      </c>
    </row>
    <row r="89" spans="1:8" s="810" customFormat="1">
      <c r="A89" s="320"/>
      <c r="B89" s="333" t="s">
        <v>525</v>
      </c>
      <c r="C89" s="324" t="s">
        <v>10</v>
      </c>
      <c r="D89" s="322">
        <v>0</v>
      </c>
      <c r="E89" s="342"/>
      <c r="F89" s="342">
        <f t="shared" si="0"/>
        <v>0</v>
      </c>
    </row>
    <row r="90" spans="1:8" s="810" customFormat="1">
      <c r="A90" s="320"/>
      <c r="B90" s="333" t="s">
        <v>524</v>
      </c>
      <c r="C90" s="324" t="s">
        <v>10</v>
      </c>
      <c r="D90" s="322">
        <v>0</v>
      </c>
      <c r="E90" s="342"/>
      <c r="F90" s="342">
        <f t="shared" si="0"/>
        <v>0</v>
      </c>
    </row>
    <row r="91" spans="1:8" s="810" customFormat="1">
      <c r="A91" s="320"/>
      <c r="B91" s="343"/>
      <c r="C91" s="324"/>
      <c r="D91" s="341"/>
      <c r="E91" s="342"/>
    </row>
    <row r="92" spans="1:8" s="810" customFormat="1" ht="15.75" thickBot="1">
      <c r="A92" s="344"/>
      <c r="B92" s="345" t="s">
        <v>523</v>
      </c>
      <c r="C92" s="346"/>
      <c r="D92" s="347"/>
      <c r="E92" s="346"/>
      <c r="F92" s="807">
        <f>SUM(F83:F90)</f>
        <v>0</v>
      </c>
    </row>
    <row r="93" spans="1:8" ht="15.75" thickTop="1"/>
    <row r="94" spans="1:8">
      <c r="F94" s="841">
        <f>+F92+F76+F51+F21</f>
        <v>0</v>
      </c>
    </row>
  </sheetData>
  <sheetProtection algorithmName="SHA-512" hashValue="ughd0TJlVtb5aqUua5776Ggke2ifBVdO/suQ5sBx/R+TSZ20/Hv+RHocl+pnVSYmcjc7Lsj1YjO8529mgFwyJw==" saltValue="rMUBmuQW8kr9VL9YVASqHA==" spinCount="100000" sheet="1" objects="1" scenarios="1" selectLockedCells="1"/>
  <customSheetViews>
    <customSheetView guid="{14FA32B8-8DA0-4B39-A6E2-254F8891DDCC}" scale="85" showPageBreaks="1" view="pageBreakPreview" topLeftCell="A64">
      <selection activeCell="B58" sqref="B58"/>
      <rowBreaks count="1" manualBreakCount="1">
        <brk id="53" max="16383" man="1"/>
      </rowBreaks>
      <pageMargins left="0.7" right="0.7" top="0.75" bottom="0.75" header="0.3" footer="0.3"/>
      <pageSetup paperSize="9" scale="69"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69" orientation="portrait" r:id="rId2"/>
  <headerFooter>
    <oddHeader>&amp;CUREDITEV RAFUTSKEGA PARKA Z LAŠČAKOVO VILO - Park&amp;RLUZ, d.d.</oddHeader>
    <oddFooter>&amp;C&amp;P</oddFooter>
  </headerFooter>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theme="2" tint="-0.249977111117893"/>
  </sheetPr>
  <dimension ref="A1:I94"/>
  <sheetViews>
    <sheetView view="pageBreakPreview" zoomScale="80" zoomScaleNormal="100" zoomScaleSheetLayoutView="80" workbookViewId="0">
      <pane ySplit="6" topLeftCell="A60" activePane="bottomLeft" state="frozen"/>
      <selection pane="bottomLeft" activeCell="E86" sqref="E86"/>
    </sheetView>
  </sheetViews>
  <sheetFormatPr defaultColWidth="9.140625" defaultRowHeight="15"/>
  <cols>
    <col min="1" max="1" width="10.42578125" style="742" customWidth="1"/>
    <col min="2" max="2" width="75.5703125" style="742" customWidth="1"/>
    <col min="3" max="3" width="6.42578125" style="742" customWidth="1"/>
    <col min="4" max="4" width="9.42578125" style="742" customWidth="1"/>
    <col min="5" max="5" width="11" style="742" customWidth="1"/>
    <col min="6" max="6" width="13.7109375" style="742" customWidth="1"/>
    <col min="7" max="7" width="9.140625" style="742"/>
    <col min="8" max="8" width="9.140625" style="742" customWidth="1"/>
    <col min="9" max="16384" width="9.140625" style="742"/>
  </cols>
  <sheetData>
    <row r="1" spans="1:9" s="571" customFormat="1">
      <c r="A1" s="1355" t="str">
        <f>Info!B1</f>
        <v>UREDITEV RAFUTSKEGA PARKA Z LAŠČAKOVO VILO - Park</v>
      </c>
      <c r="B1" s="1356"/>
      <c r="C1" s="1356"/>
      <c r="D1" s="1356"/>
      <c r="E1" s="1356"/>
      <c r="F1" s="1357"/>
    </row>
    <row r="2" spans="1:9" s="571" customFormat="1" ht="15.75" thickBot="1">
      <c r="A2" s="1358"/>
      <c r="B2" s="1359"/>
      <c r="C2" s="1359"/>
      <c r="D2" s="1359"/>
      <c r="E2" s="1359"/>
      <c r="F2" s="1360"/>
    </row>
    <row r="3" spans="1:9" s="571" customFormat="1" ht="15.75" thickBot="1">
      <c r="A3" s="1361"/>
      <c r="B3" s="1362"/>
      <c r="C3" s="5"/>
      <c r="D3" s="572"/>
      <c r="E3" s="573"/>
      <c r="F3" s="574"/>
    </row>
    <row r="4" spans="1:9" s="571" customFormat="1" ht="17.25">
      <c r="A4" s="1373" t="s">
        <v>636</v>
      </c>
      <c r="B4" s="1374"/>
      <c r="C4" s="1374"/>
      <c r="D4" s="1374"/>
      <c r="E4" s="1374"/>
      <c r="F4" s="1375"/>
    </row>
    <row r="5" spans="1:9" s="571" customFormat="1">
      <c r="A5" s="577"/>
      <c r="B5" s="578"/>
      <c r="C5" s="579"/>
      <c r="D5" s="579"/>
      <c r="E5" s="580"/>
      <c r="F5" s="580"/>
    </row>
    <row r="6" spans="1:9" s="571" customFormat="1" ht="85.5">
      <c r="A6" s="582" t="s">
        <v>1</v>
      </c>
      <c r="B6" s="583" t="s">
        <v>2</v>
      </c>
      <c r="C6" s="584" t="s">
        <v>4</v>
      </c>
      <c r="D6" s="585" t="s">
        <v>9</v>
      </c>
      <c r="E6" s="586" t="s">
        <v>5</v>
      </c>
      <c r="F6" s="588" t="s">
        <v>1612</v>
      </c>
    </row>
    <row r="7" spans="1:9" ht="15.75" thickBot="1">
      <c r="A7" s="738"/>
      <c r="B7" s="739"/>
      <c r="C7" s="311"/>
      <c r="D7" s="740"/>
      <c r="E7" s="312"/>
      <c r="F7" s="312"/>
      <c r="G7" s="741"/>
    </row>
    <row r="8" spans="1:9" s="571" customFormat="1" ht="18" thickBot="1">
      <c r="A8" s="596" t="s">
        <v>632</v>
      </c>
      <c r="B8" s="596" t="s">
        <v>170</v>
      </c>
      <c r="C8" s="598"/>
      <c r="D8" s="599"/>
      <c r="E8" s="600"/>
      <c r="F8" s="601"/>
    </row>
    <row r="9" spans="1:9" s="744" customFormat="1" ht="26.25">
      <c r="A9" s="282" t="s">
        <v>597</v>
      </c>
      <c r="B9" s="285" t="s">
        <v>596</v>
      </c>
      <c r="C9" s="286" t="s">
        <v>543</v>
      </c>
      <c r="D9" s="743">
        <v>26.64</v>
      </c>
      <c r="E9" s="293"/>
      <c r="F9" s="295">
        <f>D9*E9</f>
        <v>0</v>
      </c>
      <c r="H9" s="287"/>
      <c r="I9" s="287"/>
    </row>
    <row r="10" spans="1:9" s="744" customFormat="1">
      <c r="A10" s="282"/>
      <c r="B10" s="285"/>
      <c r="C10" s="286"/>
      <c r="D10" s="284"/>
      <c r="E10" s="295"/>
      <c r="F10" s="295"/>
      <c r="H10" s="287"/>
      <c r="I10" s="287"/>
    </row>
    <row r="11" spans="1:9" s="744" customFormat="1" ht="26.25">
      <c r="A11" s="282" t="s">
        <v>595</v>
      </c>
      <c r="B11" s="285" t="s">
        <v>594</v>
      </c>
      <c r="C11" s="286" t="s">
        <v>549</v>
      </c>
      <c r="D11" s="284">
        <v>2</v>
      </c>
      <c r="E11" s="293"/>
      <c r="F11" s="295">
        <f>D11*E11</f>
        <v>0</v>
      </c>
      <c r="H11" s="287"/>
      <c r="I11" s="287"/>
    </row>
    <row r="12" spans="1:9" s="744" customFormat="1">
      <c r="A12" s="282"/>
      <c r="B12" s="285"/>
      <c r="C12" s="286"/>
      <c r="D12" s="284"/>
      <c r="E12" s="295"/>
      <c r="F12" s="295"/>
      <c r="H12" s="287"/>
      <c r="I12" s="287"/>
    </row>
    <row r="13" spans="1:9" s="744" customFormat="1" ht="26.25">
      <c r="A13" s="282" t="s">
        <v>593</v>
      </c>
      <c r="B13" s="285" t="s">
        <v>1422</v>
      </c>
      <c r="C13" s="286" t="s">
        <v>70</v>
      </c>
      <c r="D13" s="743">
        <v>26.64</v>
      </c>
      <c r="E13" s="293"/>
      <c r="F13" s="295">
        <f>D13*E13</f>
        <v>0</v>
      </c>
      <c r="H13" s="287"/>
      <c r="I13" s="287"/>
    </row>
    <row r="14" spans="1:9" s="744" customFormat="1">
      <c r="A14" s="282"/>
      <c r="B14" s="285"/>
      <c r="C14" s="286"/>
      <c r="D14" s="284"/>
      <c r="E14" s="734"/>
      <c r="F14" s="295"/>
      <c r="H14" s="287"/>
      <c r="I14" s="287"/>
    </row>
    <row r="15" spans="1:9" s="744" customFormat="1" ht="26.25">
      <c r="A15" s="282" t="s">
        <v>592</v>
      </c>
      <c r="B15" s="285" t="s">
        <v>590</v>
      </c>
      <c r="C15" s="286" t="s">
        <v>549</v>
      </c>
      <c r="D15" s="284">
        <v>1</v>
      </c>
      <c r="E15" s="293"/>
      <c r="F15" s="295">
        <f>D15*E15</f>
        <v>0</v>
      </c>
      <c r="H15" s="287"/>
      <c r="I15" s="287"/>
    </row>
    <row r="16" spans="1:9" s="744" customFormat="1">
      <c r="A16" s="282"/>
      <c r="B16" s="285"/>
      <c r="C16" s="286"/>
      <c r="D16" s="287"/>
      <c r="E16" s="295"/>
      <c r="F16" s="295"/>
      <c r="H16" s="287"/>
      <c r="I16" s="287"/>
    </row>
    <row r="17" spans="1:9" s="744" customFormat="1" ht="39">
      <c r="A17" s="282" t="s">
        <v>591</v>
      </c>
      <c r="B17" s="283" t="s">
        <v>622</v>
      </c>
      <c r="C17" s="289"/>
      <c r="D17" s="289"/>
      <c r="E17" s="289"/>
      <c r="F17" s="295"/>
      <c r="H17" s="287"/>
      <c r="I17" s="287"/>
    </row>
    <row r="18" spans="1:9" s="744" customFormat="1">
      <c r="A18" s="282"/>
      <c r="B18" s="285" t="s">
        <v>586</v>
      </c>
      <c r="C18" s="290" t="s">
        <v>70</v>
      </c>
      <c r="D18" s="743">
        <v>26.64</v>
      </c>
      <c r="E18" s="293"/>
      <c r="F18" s="295">
        <f>D18*E18</f>
        <v>0</v>
      </c>
      <c r="H18" s="287"/>
      <c r="I18" s="287"/>
    </row>
    <row r="19" spans="1:9" s="744" customFormat="1">
      <c r="A19" s="282"/>
      <c r="B19" s="285" t="s">
        <v>585</v>
      </c>
      <c r="C19" s="290" t="s">
        <v>70</v>
      </c>
      <c r="D19" s="743">
        <v>26.64</v>
      </c>
      <c r="E19" s="293"/>
      <c r="F19" s="295">
        <f>D19*E19</f>
        <v>0</v>
      </c>
      <c r="H19" s="287"/>
      <c r="I19" s="287"/>
    </row>
    <row r="20" spans="1:9" s="744" customFormat="1">
      <c r="A20" s="303"/>
      <c r="B20" s="287"/>
      <c r="C20" s="287"/>
      <c r="D20" s="287"/>
      <c r="E20" s="734"/>
      <c r="F20" s="287"/>
      <c r="H20" s="287"/>
      <c r="I20" s="287"/>
    </row>
    <row r="21" spans="1:9" s="744" customFormat="1" ht="15.75" thickBot="1">
      <c r="A21" s="745"/>
      <c r="B21" s="305" t="s">
        <v>579</v>
      </c>
      <c r="C21" s="746"/>
      <c r="D21" s="747"/>
      <c r="E21" s="748"/>
      <c r="F21" s="749">
        <f>SUM(F9:F20)</f>
        <v>0</v>
      </c>
      <c r="H21" s="287"/>
      <c r="I21" s="287"/>
    </row>
    <row r="22" spans="1:9" s="744" customFormat="1" ht="15.75" thickTop="1">
      <c r="A22" s="296"/>
      <c r="B22" s="297"/>
      <c r="C22" s="298"/>
      <c r="D22" s="299"/>
      <c r="E22" s="300"/>
      <c r="F22" s="301"/>
      <c r="H22" s="287"/>
      <c r="I22" s="287"/>
    </row>
    <row r="23" spans="1:9" s="752" customFormat="1">
      <c r="A23" s="738"/>
      <c r="B23" s="741"/>
      <c r="C23" s="750"/>
      <c r="D23" s="751"/>
      <c r="E23" s="312"/>
      <c r="F23" s="312"/>
      <c r="H23" s="741"/>
      <c r="I23" s="741"/>
    </row>
    <row r="24" spans="1:9" s="752" customFormat="1" ht="15.75">
      <c r="A24" s="753" t="s">
        <v>578</v>
      </c>
      <c r="B24" s="753" t="s">
        <v>171</v>
      </c>
      <c r="C24" s="311"/>
      <c r="D24" s="740"/>
      <c r="E24" s="312"/>
      <c r="F24" s="312"/>
      <c r="H24" s="741"/>
      <c r="I24" s="741"/>
    </row>
    <row r="25" spans="1:9" s="752" customFormat="1" ht="15.75">
      <c r="A25" s="753"/>
      <c r="B25" s="753"/>
      <c r="C25" s="311"/>
      <c r="D25" s="740"/>
      <c r="E25" s="312"/>
      <c r="F25" s="312"/>
      <c r="H25" s="741"/>
      <c r="I25" s="741"/>
    </row>
    <row r="26" spans="1:9" s="752" customFormat="1" ht="15.75">
      <c r="A26" s="753"/>
      <c r="B26" s="753" t="s">
        <v>615</v>
      </c>
      <c r="C26" s="311"/>
      <c r="D26" s="740"/>
      <c r="E26" s="312"/>
      <c r="F26" s="312"/>
      <c r="H26" s="741"/>
      <c r="I26" s="741"/>
    </row>
    <row r="27" spans="1:9" s="752" customFormat="1" ht="26.25">
      <c r="A27" s="753"/>
      <c r="B27" s="285" t="s">
        <v>614</v>
      </c>
      <c r="C27" s="311"/>
      <c r="D27" s="740"/>
      <c r="E27" s="312"/>
      <c r="F27" s="312"/>
      <c r="H27" s="741"/>
      <c r="I27" s="741"/>
    </row>
    <row r="28" spans="1:9" s="752" customFormat="1" ht="15.75">
      <c r="A28" s="753"/>
      <c r="B28" s="285" t="s">
        <v>613</v>
      </c>
      <c r="C28" s="311"/>
      <c r="D28" s="740"/>
      <c r="E28" s="312"/>
      <c r="F28" s="312"/>
      <c r="H28" s="741"/>
      <c r="I28" s="741"/>
    </row>
    <row r="29" spans="1:9" s="752" customFormat="1" ht="15.75">
      <c r="A29" s="753"/>
      <c r="B29" s="285"/>
      <c r="C29" s="311"/>
      <c r="D29" s="740"/>
      <c r="E29" s="312"/>
      <c r="F29" s="312"/>
      <c r="H29" s="741"/>
      <c r="I29" s="741"/>
    </row>
    <row r="30" spans="1:9" s="752" customFormat="1" ht="15.75">
      <c r="A30" s="753"/>
      <c r="B30" s="285"/>
      <c r="C30" s="311"/>
      <c r="D30" s="740"/>
      <c r="E30" s="312"/>
      <c r="F30" s="312"/>
      <c r="H30" s="741"/>
      <c r="I30" s="741"/>
    </row>
    <row r="31" spans="1:9" s="752" customFormat="1" ht="25.5">
      <c r="A31" s="282" t="s">
        <v>573</v>
      </c>
      <c r="B31" s="316" t="s">
        <v>612</v>
      </c>
      <c r="C31" s="298" t="s">
        <v>11</v>
      </c>
      <c r="D31" s="743">
        <v>24.64</v>
      </c>
      <c r="E31" s="737"/>
      <c r="F31" s="317">
        <f>D31*E31</f>
        <v>0</v>
      </c>
      <c r="H31" s="741"/>
      <c r="I31" s="741"/>
    </row>
    <row r="32" spans="1:9" s="752" customFormat="1" ht="15.75">
      <c r="A32" s="753"/>
      <c r="B32" s="285"/>
      <c r="C32" s="311"/>
      <c r="D32" s="740"/>
      <c r="E32" s="312"/>
      <c r="F32" s="312"/>
      <c r="H32" s="741"/>
      <c r="I32" s="741"/>
    </row>
    <row r="33" spans="1:9" s="752" customFormat="1" ht="26.25">
      <c r="A33" s="738" t="s">
        <v>571</v>
      </c>
      <c r="B33" s="285" t="s">
        <v>572</v>
      </c>
      <c r="C33" s="286" t="s">
        <v>11</v>
      </c>
      <c r="D33" s="294">
        <v>2</v>
      </c>
      <c r="E33" s="288"/>
      <c r="F33" s="295">
        <f>D33*E33</f>
        <v>0</v>
      </c>
      <c r="H33" s="741"/>
      <c r="I33" s="741"/>
    </row>
    <row r="34" spans="1:9" s="752" customFormat="1" ht="15.75">
      <c r="A34" s="738"/>
      <c r="B34" s="753"/>
      <c r="C34" s="311"/>
      <c r="D34" s="740"/>
      <c r="E34" s="312"/>
      <c r="F34" s="312"/>
      <c r="H34" s="741"/>
      <c r="I34" s="741"/>
    </row>
    <row r="35" spans="1:9" s="752" customFormat="1" ht="39">
      <c r="A35" s="738" t="s">
        <v>570</v>
      </c>
      <c r="B35" s="754" t="s">
        <v>611</v>
      </c>
      <c r="C35" s="311" t="s">
        <v>40</v>
      </c>
      <c r="D35" s="755">
        <f>43.51*0.9</f>
        <v>39.158999999999999</v>
      </c>
      <c r="E35" s="733"/>
      <c r="F35" s="312">
        <f>D35*E35</f>
        <v>0</v>
      </c>
      <c r="H35" s="741"/>
      <c r="I35" s="741"/>
    </row>
    <row r="36" spans="1:9" s="752" customFormat="1">
      <c r="A36" s="757"/>
      <c r="B36" s="754"/>
      <c r="C36" s="311"/>
      <c r="D36" s="755"/>
      <c r="E36" s="756"/>
      <c r="F36" s="312"/>
      <c r="H36" s="741"/>
      <c r="I36" s="741"/>
    </row>
    <row r="37" spans="1:9" s="752" customFormat="1" ht="39">
      <c r="A37" s="738" t="s">
        <v>568</v>
      </c>
      <c r="B37" s="754" t="s">
        <v>569</v>
      </c>
      <c r="C37" s="311" t="s">
        <v>40</v>
      </c>
      <c r="D37" s="755">
        <f>43.51*0.1</f>
        <v>4.351</v>
      </c>
      <c r="E37" s="733"/>
      <c r="F37" s="312">
        <f>D37*E37</f>
        <v>0</v>
      </c>
      <c r="H37" s="741"/>
      <c r="I37" s="741"/>
    </row>
    <row r="38" spans="1:9" s="752" customFormat="1">
      <c r="A38" s="738"/>
      <c r="B38" s="754"/>
      <c r="C38" s="311"/>
      <c r="D38" s="755"/>
      <c r="E38" s="756"/>
      <c r="F38" s="312"/>
      <c r="H38" s="741"/>
      <c r="I38" s="741"/>
    </row>
    <row r="39" spans="1:9" s="752" customFormat="1" ht="39">
      <c r="A39" s="282" t="s">
        <v>565</v>
      </c>
      <c r="B39" s="283" t="s">
        <v>610</v>
      </c>
      <c r="C39" s="286" t="s">
        <v>40</v>
      </c>
      <c r="D39" s="758">
        <v>2.58</v>
      </c>
      <c r="E39" s="293"/>
      <c r="F39" s="295">
        <f>D39*E39</f>
        <v>0</v>
      </c>
      <c r="H39" s="741"/>
      <c r="I39" s="741"/>
    </row>
    <row r="40" spans="1:9" s="752" customFormat="1">
      <c r="A40" s="282"/>
      <c r="B40" s="283"/>
      <c r="C40" s="286"/>
      <c r="D40" s="758"/>
      <c r="E40" s="734"/>
      <c r="F40" s="295"/>
      <c r="H40" s="741"/>
      <c r="I40" s="741"/>
    </row>
    <row r="41" spans="1:9" s="752" customFormat="1" ht="39">
      <c r="A41" s="282" t="s">
        <v>563</v>
      </c>
      <c r="B41" s="292" t="s">
        <v>609</v>
      </c>
      <c r="C41" s="286" t="s">
        <v>70</v>
      </c>
      <c r="D41" s="284">
        <v>4</v>
      </c>
      <c r="E41" s="293"/>
      <c r="F41" s="295">
        <f>D41*E41</f>
        <v>0</v>
      </c>
      <c r="H41" s="741"/>
      <c r="I41" s="741"/>
    </row>
    <row r="42" spans="1:9" s="752" customFormat="1">
      <c r="A42" s="282"/>
      <c r="B42" s="292"/>
      <c r="C42" s="286"/>
      <c r="D42" s="284"/>
      <c r="E42" s="295"/>
      <c r="F42" s="312"/>
      <c r="H42" s="741"/>
      <c r="I42" s="741"/>
    </row>
    <row r="43" spans="1:9" s="752" customFormat="1" ht="26.25">
      <c r="A43" s="738" t="s">
        <v>561</v>
      </c>
      <c r="B43" s="759" t="s">
        <v>567</v>
      </c>
      <c r="C43" s="311" t="s">
        <v>566</v>
      </c>
      <c r="D43" s="743">
        <v>26.64</v>
      </c>
      <c r="E43" s="733"/>
      <c r="F43" s="312">
        <f>D43*E43</f>
        <v>0</v>
      </c>
      <c r="H43" s="741"/>
      <c r="I43" s="741"/>
    </row>
    <row r="44" spans="1:9" s="752" customFormat="1">
      <c r="A44" s="760"/>
      <c r="B44" s="759"/>
      <c r="C44" s="311"/>
      <c r="D44" s="743"/>
      <c r="E44" s="756"/>
      <c r="F44" s="312"/>
      <c r="H44" s="741"/>
      <c r="I44" s="741"/>
    </row>
    <row r="45" spans="1:9" s="752" customFormat="1" ht="39">
      <c r="A45" s="738" t="s">
        <v>559</v>
      </c>
      <c r="B45" s="759" t="s">
        <v>564</v>
      </c>
      <c r="C45" s="311" t="s">
        <v>40</v>
      </c>
      <c r="D45" s="743">
        <v>2.62</v>
      </c>
      <c r="E45" s="733"/>
      <c r="F45" s="312">
        <f>D45*E45</f>
        <v>0</v>
      </c>
      <c r="H45" s="741"/>
      <c r="I45" s="741"/>
    </row>
    <row r="46" spans="1:9" s="752" customFormat="1">
      <c r="A46" s="757"/>
      <c r="B46" s="761"/>
      <c r="C46" s="311"/>
      <c r="D46" s="743"/>
      <c r="E46" s="312"/>
      <c r="F46" s="312"/>
      <c r="H46" s="741"/>
      <c r="I46" s="741"/>
    </row>
    <row r="47" spans="1:9" s="752" customFormat="1" ht="51.75">
      <c r="A47" s="738" t="s">
        <v>557</v>
      </c>
      <c r="B47" s="762" t="s">
        <v>562</v>
      </c>
      <c r="C47" s="311" t="s">
        <v>40</v>
      </c>
      <c r="D47" s="763">
        <v>10.08</v>
      </c>
      <c r="E47" s="733"/>
      <c r="F47" s="312">
        <f>D47*E47</f>
        <v>0</v>
      </c>
      <c r="H47" s="741"/>
      <c r="I47" s="741"/>
    </row>
    <row r="48" spans="1:9" s="752" customFormat="1">
      <c r="A48" s="738"/>
      <c r="B48" s="762"/>
      <c r="C48" s="311"/>
      <c r="D48" s="763"/>
      <c r="E48" s="756"/>
      <c r="F48" s="312"/>
      <c r="H48" s="741"/>
      <c r="I48" s="741"/>
    </row>
    <row r="49" spans="1:9" s="752" customFormat="1" ht="26.25">
      <c r="A49" s="738" t="s">
        <v>555</v>
      </c>
      <c r="B49" s="754" t="s">
        <v>560</v>
      </c>
      <c r="C49" s="311" t="s">
        <v>40</v>
      </c>
      <c r="D49" s="743">
        <v>32.79</v>
      </c>
      <c r="E49" s="733"/>
      <c r="F49" s="312">
        <f>D49*E49</f>
        <v>0</v>
      </c>
      <c r="H49" s="741"/>
      <c r="I49" s="741"/>
    </row>
    <row r="50" spans="1:9" s="752" customFormat="1">
      <c r="A50" s="738"/>
      <c r="B50" s="754"/>
      <c r="C50" s="311"/>
      <c r="D50" s="743"/>
      <c r="E50" s="756"/>
      <c r="F50" s="312"/>
      <c r="H50" s="741"/>
      <c r="I50" s="741"/>
    </row>
    <row r="51" spans="1:9" s="752" customFormat="1" ht="26.25">
      <c r="A51" s="282" t="s">
        <v>608</v>
      </c>
      <c r="B51" s="754" t="s">
        <v>607</v>
      </c>
      <c r="C51" s="311" t="s">
        <v>40</v>
      </c>
      <c r="D51" s="743">
        <v>12.7</v>
      </c>
      <c r="E51" s="733"/>
      <c r="F51" s="312">
        <f>D51*E51</f>
        <v>0</v>
      </c>
      <c r="H51" s="741"/>
      <c r="I51" s="741"/>
    </row>
    <row r="52" spans="1:9" s="752" customFormat="1">
      <c r="A52" s="757"/>
      <c r="B52" s="754"/>
      <c r="C52" s="311"/>
      <c r="D52" s="743"/>
      <c r="E52" s="756"/>
      <c r="F52" s="312"/>
      <c r="H52" s="741"/>
      <c r="I52" s="741"/>
    </row>
    <row r="53" spans="1:9" s="752" customFormat="1">
      <c r="A53" s="738" t="s">
        <v>606</v>
      </c>
      <c r="B53" s="292" t="s">
        <v>556</v>
      </c>
      <c r="C53" s="286" t="s">
        <v>116</v>
      </c>
      <c r="D53" s="743">
        <v>3</v>
      </c>
      <c r="E53" s="293"/>
      <c r="F53" s="295">
        <f>D53*E53</f>
        <v>0</v>
      </c>
      <c r="H53" s="741"/>
      <c r="I53" s="741"/>
    </row>
    <row r="54" spans="1:9" s="752" customFormat="1">
      <c r="A54" s="757"/>
      <c r="B54" s="759"/>
      <c r="C54" s="311"/>
      <c r="D54" s="740"/>
      <c r="E54" s="312"/>
      <c r="F54" s="312"/>
      <c r="H54" s="741"/>
      <c r="I54" s="741"/>
    </row>
    <row r="55" spans="1:9" s="752" customFormat="1" ht="15.75" thickBot="1">
      <c r="A55" s="765"/>
      <c r="B55" s="766" t="s">
        <v>554</v>
      </c>
      <c r="C55" s="163"/>
      <c r="D55" s="162"/>
      <c r="E55" s="161"/>
      <c r="F55" s="749">
        <f>SUM(F29:F53)</f>
        <v>0</v>
      </c>
      <c r="H55" s="741"/>
      <c r="I55" s="741"/>
    </row>
    <row r="56" spans="1:9" s="752" customFormat="1" ht="15.75" thickTop="1">
      <c r="A56" s="738"/>
      <c r="B56" s="767"/>
      <c r="C56" s="768"/>
      <c r="D56" s="769"/>
      <c r="E56" s="770"/>
      <c r="F56" s="771"/>
      <c r="H56" s="741"/>
      <c r="I56" s="741"/>
    </row>
    <row r="57" spans="1:9" s="752" customFormat="1">
      <c r="A57" s="772"/>
      <c r="B57" s="292"/>
      <c r="C57" s="768"/>
      <c r="D57" s="769"/>
      <c r="E57" s="770"/>
      <c r="F57" s="771"/>
      <c r="H57" s="741"/>
      <c r="I57" s="741"/>
    </row>
    <row r="58" spans="1:9" s="752" customFormat="1" ht="15.75">
      <c r="A58" s="753" t="s">
        <v>553</v>
      </c>
      <c r="B58" s="753" t="s">
        <v>100</v>
      </c>
      <c r="C58" s="311"/>
      <c r="D58" s="740"/>
      <c r="E58" s="312"/>
      <c r="F58" s="312"/>
      <c r="H58" s="741"/>
      <c r="I58" s="741"/>
    </row>
    <row r="59" spans="1:9" s="752" customFormat="1" ht="15.75">
      <c r="A59" s="753"/>
      <c r="B59" s="753"/>
      <c r="C59" s="311"/>
      <c r="D59" s="740"/>
      <c r="E59" s="312"/>
      <c r="F59" s="312"/>
      <c r="H59" s="741"/>
      <c r="I59" s="741"/>
    </row>
    <row r="60" spans="1:9" s="752" customFormat="1" ht="26.25">
      <c r="A60" s="738"/>
      <c r="B60" s="773" t="s">
        <v>1592</v>
      </c>
      <c r="C60" s="311"/>
      <c r="D60" s="743"/>
      <c r="E60" s="312"/>
      <c r="F60" s="312"/>
      <c r="H60" s="741"/>
      <c r="I60" s="741"/>
    </row>
    <row r="61" spans="1:9" s="752" customFormat="1">
      <c r="A61" s="738"/>
      <c r="B61" s="773"/>
      <c r="C61" s="311"/>
      <c r="D61" s="743"/>
      <c r="E61" s="312"/>
      <c r="F61" s="312"/>
      <c r="H61" s="741"/>
      <c r="I61" s="741"/>
    </row>
    <row r="62" spans="1:9" s="752" customFormat="1" ht="64.5">
      <c r="A62" s="738" t="s">
        <v>552</v>
      </c>
      <c r="B62" s="773" t="s">
        <v>1444</v>
      </c>
      <c r="C62" s="311" t="s">
        <v>10</v>
      </c>
      <c r="D62" s="743">
        <v>1</v>
      </c>
      <c r="E62" s="735"/>
      <c r="F62" s="312">
        <f>D62*E62</f>
        <v>0</v>
      </c>
      <c r="H62" s="741"/>
      <c r="I62" s="741"/>
    </row>
    <row r="63" spans="1:9" s="752" customFormat="1">
      <c r="A63" s="738"/>
      <c r="B63" s="739"/>
      <c r="C63" s="311"/>
      <c r="D63" s="740"/>
      <c r="E63" s="312"/>
      <c r="F63" s="312"/>
      <c r="H63" s="741"/>
      <c r="I63" s="741"/>
    </row>
    <row r="64" spans="1:9" s="752" customFormat="1" ht="15.75" thickBot="1">
      <c r="A64" s="765"/>
      <c r="B64" s="766" t="s">
        <v>548</v>
      </c>
      <c r="C64" s="163"/>
      <c r="D64" s="162"/>
      <c r="E64" s="161"/>
      <c r="F64" s="749">
        <f>SUM(F62:F62)</f>
        <v>0</v>
      </c>
      <c r="H64" s="741"/>
      <c r="I64" s="741"/>
    </row>
    <row r="65" spans="1:9" s="752" customFormat="1" ht="15.75" thickTop="1">
      <c r="A65" s="772"/>
      <c r="B65" s="767"/>
      <c r="C65" s="768"/>
      <c r="D65" s="769"/>
      <c r="E65" s="770"/>
      <c r="F65" s="771"/>
      <c r="H65" s="741"/>
      <c r="I65" s="741"/>
    </row>
    <row r="66" spans="1:9" s="752" customFormat="1" ht="15.75">
      <c r="A66" s="753" t="s">
        <v>547</v>
      </c>
      <c r="B66" s="753" t="s">
        <v>546</v>
      </c>
      <c r="C66" s="311"/>
      <c r="D66" s="740"/>
      <c r="E66" s="312"/>
      <c r="F66" s="312"/>
      <c r="H66" s="741"/>
      <c r="I66" s="741"/>
    </row>
    <row r="67" spans="1:9" s="752" customFormat="1">
      <c r="A67" s="738"/>
      <c r="B67" s="739"/>
      <c r="C67" s="311"/>
      <c r="D67" s="740"/>
      <c r="E67" s="312"/>
      <c r="F67" s="312"/>
      <c r="H67" s="741"/>
      <c r="I67" s="741"/>
    </row>
    <row r="68" spans="1:9" s="752" customFormat="1" ht="39">
      <c r="A68" s="738" t="s">
        <v>545</v>
      </c>
      <c r="B68" s="292" t="s">
        <v>544</v>
      </c>
      <c r="C68" s="286" t="s">
        <v>543</v>
      </c>
      <c r="D68" s="743">
        <v>26.64</v>
      </c>
      <c r="E68" s="736"/>
      <c r="F68" s="312">
        <f>D68*E68</f>
        <v>0</v>
      </c>
      <c r="H68" s="741"/>
      <c r="I68" s="741"/>
    </row>
    <row r="69" spans="1:9" s="752" customFormat="1">
      <c r="A69" s="738"/>
      <c r="B69" s="759"/>
      <c r="C69" s="311"/>
      <c r="D69" s="743"/>
      <c r="E69" s="756"/>
      <c r="F69" s="312"/>
      <c r="H69" s="741"/>
      <c r="I69" s="741"/>
    </row>
    <row r="70" spans="1:9" s="752" customFormat="1">
      <c r="A70" s="282" t="s">
        <v>542</v>
      </c>
      <c r="B70" s="292" t="s">
        <v>541</v>
      </c>
      <c r="C70" s="286" t="s">
        <v>70</v>
      </c>
      <c r="D70" s="743">
        <v>26.64</v>
      </c>
      <c r="E70" s="293"/>
      <c r="F70" s="295">
        <f>D70*E70</f>
        <v>0</v>
      </c>
      <c r="H70" s="741"/>
      <c r="I70" s="741"/>
    </row>
    <row r="71" spans="1:9" s="752" customFormat="1">
      <c r="A71" s="296"/>
      <c r="B71" s="297"/>
      <c r="C71" s="298"/>
      <c r="D71" s="299"/>
      <c r="E71" s="300"/>
      <c r="F71" s="301"/>
      <c r="H71" s="741"/>
      <c r="I71" s="741"/>
    </row>
    <row r="72" spans="1:9" s="752" customFormat="1" ht="26.25">
      <c r="A72" s="282" t="s">
        <v>540</v>
      </c>
      <c r="B72" s="292" t="s">
        <v>539</v>
      </c>
      <c r="C72" s="286" t="s">
        <v>70</v>
      </c>
      <c r="D72" s="743">
        <v>26.64</v>
      </c>
      <c r="E72" s="293"/>
      <c r="F72" s="295">
        <f>E72*D72</f>
        <v>0</v>
      </c>
      <c r="H72" s="741"/>
      <c r="I72" s="741"/>
    </row>
    <row r="73" spans="1:9" s="752" customFormat="1">
      <c r="A73" s="282"/>
      <c r="B73" s="292"/>
      <c r="C73" s="286"/>
      <c r="D73" s="284"/>
      <c r="E73" s="734"/>
      <c r="F73" s="295"/>
      <c r="H73" s="741"/>
      <c r="I73" s="741"/>
    </row>
    <row r="74" spans="1:9" s="752" customFormat="1">
      <c r="A74" s="282" t="s">
        <v>538</v>
      </c>
      <c r="B74" s="292" t="s">
        <v>537</v>
      </c>
      <c r="C74" s="286" t="s">
        <v>70</v>
      </c>
      <c r="D74" s="743">
        <v>26.64</v>
      </c>
      <c r="E74" s="293"/>
      <c r="F74" s="295">
        <f>D74*E74</f>
        <v>0</v>
      </c>
      <c r="H74" s="741"/>
      <c r="I74" s="741"/>
    </row>
    <row r="75" spans="1:9" s="752" customFormat="1">
      <c r="A75" s="738"/>
      <c r="B75" s="739"/>
      <c r="C75" s="311"/>
      <c r="D75" s="740"/>
      <c r="E75" s="312"/>
      <c r="F75" s="312"/>
      <c r="H75" s="741"/>
      <c r="I75" s="741"/>
    </row>
    <row r="76" spans="1:9" s="752" customFormat="1" ht="15.75" thickBot="1">
      <c r="A76" s="775"/>
      <c r="B76" s="766" t="s">
        <v>536</v>
      </c>
      <c r="C76" s="776"/>
      <c r="D76" s="777"/>
      <c r="E76" s="778"/>
      <c r="F76" s="749">
        <f>SUM(F68:F74)</f>
        <v>0</v>
      </c>
      <c r="H76" s="741"/>
      <c r="I76" s="741"/>
    </row>
    <row r="77" spans="1:9" s="752" customFormat="1" ht="15.75" thickTop="1">
      <c r="A77" s="779"/>
      <c r="B77" s="767"/>
      <c r="C77" s="780"/>
      <c r="D77" s="781"/>
      <c r="E77" s="771"/>
      <c r="F77" s="771"/>
      <c r="H77" s="741"/>
      <c r="I77" s="741"/>
    </row>
    <row r="78" spans="1:9" s="752" customFormat="1">
      <c r="A78" s="779"/>
      <c r="B78" s="767"/>
      <c r="C78" s="780"/>
      <c r="D78" s="781"/>
      <c r="E78" s="771"/>
      <c r="F78" s="771"/>
      <c r="H78" s="741"/>
      <c r="I78" s="741"/>
    </row>
    <row r="79" spans="1:9" s="752" customFormat="1" ht="15.75">
      <c r="A79" s="302" t="s">
        <v>535</v>
      </c>
      <c r="B79" s="302" t="s">
        <v>534</v>
      </c>
      <c r="C79" s="286"/>
      <c r="D79" s="294"/>
      <c r="E79" s="295"/>
      <c r="F79" s="782"/>
      <c r="H79" s="782"/>
    </row>
    <row r="80" spans="1:9" s="752" customFormat="1">
      <c r="A80" s="282"/>
      <c r="B80" s="303"/>
      <c r="C80" s="286"/>
      <c r="D80" s="294"/>
      <c r="E80" s="295"/>
      <c r="F80" s="782"/>
      <c r="H80" s="782"/>
    </row>
    <row r="81" spans="1:8" s="752" customFormat="1">
      <c r="A81" s="282" t="s">
        <v>533</v>
      </c>
      <c r="B81" s="292" t="s">
        <v>532</v>
      </c>
      <c r="C81" s="286"/>
      <c r="D81" s="284"/>
      <c r="E81" s="295"/>
      <c r="F81" s="782"/>
      <c r="H81" s="782"/>
    </row>
    <row r="82" spans="1:8" s="752" customFormat="1">
      <c r="A82" s="296"/>
      <c r="B82" s="297"/>
      <c r="C82" s="298"/>
      <c r="D82" s="299"/>
      <c r="E82" s="301"/>
    </row>
    <row r="83" spans="1:8" s="752" customFormat="1">
      <c r="A83" s="282"/>
      <c r="B83" s="292" t="s">
        <v>531</v>
      </c>
      <c r="C83" s="286" t="s">
        <v>10</v>
      </c>
      <c r="D83" s="284">
        <v>0</v>
      </c>
      <c r="E83" s="295"/>
      <c r="F83" s="295">
        <f t="shared" ref="F83:F90" si="0">D83*E83</f>
        <v>0</v>
      </c>
    </row>
    <row r="84" spans="1:8" s="752" customFormat="1">
      <c r="A84" s="282"/>
      <c r="B84" s="292" t="s">
        <v>530</v>
      </c>
      <c r="C84" s="286" t="s">
        <v>10</v>
      </c>
      <c r="D84" s="284">
        <v>1</v>
      </c>
      <c r="E84" s="288"/>
      <c r="F84" s="295">
        <f t="shared" si="0"/>
        <v>0</v>
      </c>
    </row>
    <row r="85" spans="1:8" s="752" customFormat="1">
      <c r="A85" s="282"/>
      <c r="B85" s="292" t="s">
        <v>529</v>
      </c>
      <c r="C85" s="286" t="s">
        <v>10</v>
      </c>
      <c r="D85" s="284">
        <v>1</v>
      </c>
      <c r="E85" s="288"/>
      <c r="F85" s="295">
        <f t="shared" si="0"/>
        <v>0</v>
      </c>
    </row>
    <row r="86" spans="1:8" s="752" customFormat="1">
      <c r="A86" s="282"/>
      <c r="B86" s="292" t="s">
        <v>528</v>
      </c>
      <c r="C86" s="286" t="s">
        <v>10</v>
      </c>
      <c r="D86" s="284">
        <v>1</v>
      </c>
      <c r="E86" s="288"/>
      <c r="F86" s="295">
        <f t="shared" si="0"/>
        <v>0</v>
      </c>
    </row>
    <row r="87" spans="1:8" s="752" customFormat="1">
      <c r="A87" s="282"/>
      <c r="B87" s="292" t="s">
        <v>527</v>
      </c>
      <c r="C87" s="286" t="s">
        <v>10</v>
      </c>
      <c r="D87" s="284">
        <v>0</v>
      </c>
      <c r="E87" s="295"/>
      <c r="F87" s="295">
        <f t="shared" si="0"/>
        <v>0</v>
      </c>
    </row>
    <row r="88" spans="1:8" s="752" customFormat="1">
      <c r="A88" s="282"/>
      <c r="B88" s="292" t="s">
        <v>526</v>
      </c>
      <c r="C88" s="286" t="s">
        <v>10</v>
      </c>
      <c r="D88" s="284">
        <v>0</v>
      </c>
      <c r="E88" s="295"/>
      <c r="F88" s="295">
        <f t="shared" si="0"/>
        <v>0</v>
      </c>
    </row>
    <row r="89" spans="1:8" s="752" customFormat="1">
      <c r="A89" s="282"/>
      <c r="B89" s="292" t="s">
        <v>525</v>
      </c>
      <c r="C89" s="286" t="s">
        <v>10</v>
      </c>
      <c r="D89" s="284">
        <v>0</v>
      </c>
      <c r="E89" s="295"/>
      <c r="F89" s="295">
        <f t="shared" si="0"/>
        <v>0</v>
      </c>
    </row>
    <row r="90" spans="1:8" s="752" customFormat="1">
      <c r="A90" s="282"/>
      <c r="B90" s="292" t="s">
        <v>524</v>
      </c>
      <c r="C90" s="286" t="s">
        <v>10</v>
      </c>
      <c r="D90" s="284">
        <v>0</v>
      </c>
      <c r="E90" s="295"/>
      <c r="F90" s="295">
        <f t="shared" si="0"/>
        <v>0</v>
      </c>
    </row>
    <row r="91" spans="1:8" s="752" customFormat="1">
      <c r="A91" s="282"/>
      <c r="B91" s="303"/>
      <c r="C91" s="286"/>
      <c r="D91" s="294"/>
      <c r="E91" s="295"/>
    </row>
    <row r="92" spans="1:8" s="752" customFormat="1" ht="15.75" thickBot="1">
      <c r="A92" s="304"/>
      <c r="B92" s="305" t="s">
        <v>523</v>
      </c>
      <c r="C92" s="306"/>
      <c r="D92" s="307"/>
      <c r="E92" s="306"/>
      <c r="F92" s="749">
        <f>SUM(F83:F90)</f>
        <v>0</v>
      </c>
    </row>
    <row r="93" spans="1:8" ht="15.75" thickTop="1"/>
    <row r="94" spans="1:8">
      <c r="F94" s="783">
        <f>+F92+F76+F64+F55+F21</f>
        <v>0</v>
      </c>
    </row>
  </sheetData>
  <sheetProtection algorithmName="SHA-512" hashValue="0Fslq/soB9TxjFQip1gMWX8MZ5O6h/gMp+kyLl7xNUQOcU3FAQ0uMOKP5JwmS5qApDrrZDavTByo44LbaQeFKA==" saltValue="0K41fzawMKvZpJ8d0Sd2/g==" spinCount="100000" sheet="1" objects="1" scenarios="1" selectLockedCells="1"/>
  <customSheetViews>
    <customSheetView guid="{14FA32B8-8DA0-4B39-A6E2-254F8891DDCC}" scale="60" showPageBreaks="1" view="pageBreakPreview" topLeftCell="A43">
      <selection activeCell="B61" sqref="B61"/>
      <rowBreaks count="1" manualBreakCount="1">
        <brk id="50" max="16383" man="1"/>
      </rowBreaks>
      <pageMargins left="0.7" right="0.7" top="0.75" bottom="0.75" header="0.3" footer="0.3"/>
      <pageSetup paperSize="9" scale="69"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69" orientation="portrait" r:id="rId2"/>
  <headerFooter>
    <oddHeader>&amp;CUREDITEV RAFUTSKEGA PARKA Z LAŠČAKOVO VILO - Park&amp;RLUZ, d.d.</oddHeader>
    <oddFooter>&amp;C&amp;P</oddFooter>
  </headerFooter>
  <rowBreaks count="1" manualBreakCount="1">
    <brk id="5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0.249977111117893"/>
  </sheetPr>
  <dimension ref="A1:AQ22"/>
  <sheetViews>
    <sheetView view="pageBreakPreview" zoomScaleNormal="100" zoomScaleSheetLayoutView="100" workbookViewId="0">
      <selection activeCell="E19" sqref="E19"/>
    </sheetView>
  </sheetViews>
  <sheetFormatPr defaultColWidth="9.140625" defaultRowHeight="15"/>
  <cols>
    <col min="1" max="1" width="10.42578125" style="742" customWidth="1"/>
    <col min="2" max="2" width="75.5703125" style="742" customWidth="1"/>
    <col min="3" max="3" width="6.42578125" style="742" customWidth="1"/>
    <col min="4" max="4" width="9.42578125" style="742" customWidth="1"/>
    <col min="5" max="5" width="11" style="742" customWidth="1"/>
    <col min="6" max="6" width="13.7109375" style="742" customWidth="1"/>
    <col min="7" max="8" width="9.140625" style="742"/>
    <col min="9" max="9" width="9.140625" style="742" customWidth="1"/>
    <col min="10" max="16384" width="9.140625" style="742"/>
  </cols>
  <sheetData>
    <row r="1" spans="1:43" s="571" customFormat="1">
      <c r="A1" s="1355" t="str">
        <f>Info!B1</f>
        <v>UREDITEV RAFUTSKEGA PARKA Z LAŠČAKOVO VILO - Park</v>
      </c>
      <c r="B1" s="1356"/>
      <c r="C1" s="1356"/>
      <c r="D1" s="1356"/>
      <c r="E1" s="1356"/>
      <c r="F1" s="1357"/>
      <c r="G1" s="647"/>
    </row>
    <row r="2" spans="1:43" s="571" customFormat="1" ht="15.75" thickBot="1">
      <c r="A2" s="1358"/>
      <c r="B2" s="1359"/>
      <c r="C2" s="1359"/>
      <c r="D2" s="1359"/>
      <c r="E2" s="1359"/>
      <c r="F2" s="1360"/>
      <c r="G2" s="647"/>
    </row>
    <row r="3" spans="1:43" s="571" customFormat="1" ht="15.75" thickBot="1">
      <c r="A3" s="1361"/>
      <c r="B3" s="1362"/>
      <c r="C3" s="5"/>
      <c r="D3" s="572"/>
      <c r="E3" s="573"/>
      <c r="F3" s="574"/>
      <c r="G3" s="647"/>
    </row>
    <row r="4" spans="1:43" s="571" customFormat="1" ht="17.25">
      <c r="A4" s="1373" t="s">
        <v>1096</v>
      </c>
      <c r="B4" s="1374"/>
      <c r="C4" s="1374"/>
      <c r="D4" s="1374"/>
      <c r="E4" s="1374"/>
      <c r="F4" s="1375"/>
      <c r="G4" s="647"/>
    </row>
    <row r="5" spans="1:43" s="571" customFormat="1">
      <c r="A5" s="577"/>
      <c r="B5" s="578"/>
      <c r="C5" s="579"/>
      <c r="D5" s="579"/>
      <c r="E5" s="580"/>
      <c r="F5" s="580"/>
    </row>
    <row r="6" spans="1:43" s="571" customFormat="1" ht="85.5">
      <c r="A6" s="582" t="s">
        <v>1</v>
      </c>
      <c r="B6" s="583" t="s">
        <v>2</v>
      </c>
      <c r="C6" s="584" t="s">
        <v>4</v>
      </c>
      <c r="D6" s="585" t="s">
        <v>9</v>
      </c>
      <c r="E6" s="586" t="s">
        <v>5</v>
      </c>
      <c r="F6" s="586" t="s">
        <v>1613</v>
      </c>
    </row>
    <row r="7" spans="1:43" ht="15.75" thickBot="1">
      <c r="A7" s="738"/>
      <c r="B7" s="739"/>
      <c r="C7" s="311"/>
      <c r="D7" s="740"/>
      <c r="E7" s="312"/>
      <c r="F7" s="312"/>
      <c r="G7" s="741"/>
      <c r="H7" s="741"/>
    </row>
    <row r="8" spans="1:43" s="571" customFormat="1" ht="18" thickBot="1">
      <c r="A8" s="596" t="s">
        <v>632</v>
      </c>
      <c r="B8" s="596" t="s">
        <v>170</v>
      </c>
      <c r="C8" s="598"/>
      <c r="D8" s="599"/>
      <c r="E8" s="600"/>
      <c r="F8" s="601"/>
      <c r="G8" s="647"/>
    </row>
    <row r="9" spans="1:43" s="851" customFormat="1" ht="26.25">
      <c r="A9" s="845" t="s">
        <v>597</v>
      </c>
      <c r="B9" s="846" t="s">
        <v>596</v>
      </c>
      <c r="C9" s="847" t="s">
        <v>543</v>
      </c>
      <c r="D9" s="848">
        <v>26.64</v>
      </c>
      <c r="E9" s="844"/>
      <c r="F9" s="849">
        <f t="shared" ref="F9" si="0">D9*E9</f>
        <v>0</v>
      </c>
      <c r="G9" s="850"/>
      <c r="H9" s="850"/>
    </row>
    <row r="10" spans="1:43" s="851" customFormat="1" ht="15.75" thickBot="1">
      <c r="A10" s="852"/>
      <c r="B10" s="853" t="s">
        <v>579</v>
      </c>
      <c r="C10" s="854"/>
      <c r="D10" s="855"/>
      <c r="E10" s="856"/>
      <c r="F10" s="857">
        <f>SUM(F9:F9)</f>
        <v>0</v>
      </c>
      <c r="G10" s="850"/>
      <c r="H10" s="850"/>
    </row>
    <row r="11" spans="1:43" s="851" customFormat="1" ht="15.75" thickTop="1">
      <c r="A11" s="845"/>
      <c r="B11" s="858"/>
      <c r="C11" s="847"/>
      <c r="D11" s="859"/>
      <c r="E11" s="860"/>
      <c r="F11" s="861"/>
      <c r="G11" s="850"/>
      <c r="H11" s="850"/>
    </row>
    <row r="12" spans="1:43">
      <c r="A12" s="862"/>
      <c r="B12" s="863"/>
      <c r="C12" s="780"/>
      <c r="D12" s="781"/>
      <c r="E12" s="770"/>
      <c r="F12" s="864"/>
      <c r="G12" s="741"/>
      <c r="H12" s="741"/>
    </row>
    <row r="13" spans="1:43" ht="15.75" thickBot="1">
      <c r="A13" s="862"/>
      <c r="B13" s="767"/>
      <c r="C13" s="768"/>
      <c r="D13" s="769"/>
      <c r="E13" s="770"/>
      <c r="F13" s="865"/>
      <c r="G13" s="741"/>
      <c r="H13" s="741"/>
    </row>
    <row r="14" spans="1:43" s="571" customFormat="1" ht="18" thickBot="1">
      <c r="A14" s="596" t="s">
        <v>547</v>
      </c>
      <c r="B14" s="596" t="s">
        <v>546</v>
      </c>
      <c r="C14" s="598"/>
      <c r="D14" s="599"/>
      <c r="E14" s="600"/>
      <c r="F14" s="601"/>
      <c r="G14" s="647"/>
    </row>
    <row r="15" spans="1:43" s="868" customFormat="1" ht="57.75" customHeight="1">
      <c r="A15" s="663" t="s">
        <v>739</v>
      </c>
      <c r="B15" s="625" t="s">
        <v>1097</v>
      </c>
      <c r="C15" s="866" t="s">
        <v>70</v>
      </c>
      <c r="D15" s="702">
        <v>24.87</v>
      </c>
      <c r="E15" s="728"/>
      <c r="F15" s="629">
        <f t="shared" ref="F15" si="1">(D15*E15)</f>
        <v>0</v>
      </c>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1"/>
    </row>
    <row r="16" spans="1:43" s="868" customFormat="1" ht="14.25">
      <c r="A16" s="664"/>
      <c r="B16" s="625"/>
      <c r="C16" s="866"/>
      <c r="D16" s="702"/>
      <c r="E16" s="867"/>
      <c r="F16" s="629"/>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1"/>
      <c r="AK16" s="641"/>
      <c r="AL16" s="641"/>
      <c r="AM16" s="641"/>
      <c r="AN16" s="641"/>
      <c r="AO16" s="641"/>
      <c r="AP16" s="641"/>
      <c r="AQ16" s="641"/>
    </row>
    <row r="17" spans="1:43" s="868" customFormat="1" ht="42.75">
      <c r="A17" s="663" t="s">
        <v>740</v>
      </c>
      <c r="B17" s="625" t="s">
        <v>1098</v>
      </c>
      <c r="C17" s="866" t="s">
        <v>10</v>
      </c>
      <c r="D17" s="702">
        <v>1</v>
      </c>
      <c r="E17" s="728"/>
      <c r="F17" s="629">
        <f t="shared" ref="F17:F19" si="2">(D17*E17)</f>
        <v>0</v>
      </c>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1"/>
      <c r="AQ17" s="641"/>
    </row>
    <row r="18" spans="1:43" s="868" customFormat="1" ht="14.25">
      <c r="A18" s="664"/>
      <c r="B18" s="625"/>
      <c r="C18" s="866"/>
      <c r="D18" s="702"/>
      <c r="E18" s="867"/>
      <c r="F18" s="629"/>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41"/>
      <c r="AN18" s="641"/>
      <c r="AO18" s="641"/>
      <c r="AP18" s="641"/>
      <c r="AQ18" s="641"/>
    </row>
    <row r="19" spans="1:43" s="868" customFormat="1" ht="57">
      <c r="A19" s="663" t="s">
        <v>741</v>
      </c>
      <c r="B19" s="625" t="s">
        <v>1099</v>
      </c>
      <c r="C19" s="866" t="s">
        <v>10</v>
      </c>
      <c r="D19" s="702">
        <v>1</v>
      </c>
      <c r="E19" s="728"/>
      <c r="F19" s="629">
        <f t="shared" si="2"/>
        <v>0</v>
      </c>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41"/>
      <c r="AQ19" s="641"/>
    </row>
    <row r="20" spans="1:43" ht="15.75" thickBot="1">
      <c r="A20" s="869"/>
      <c r="B20" s="766" t="s">
        <v>536</v>
      </c>
      <c r="C20" s="776"/>
      <c r="D20" s="777"/>
      <c r="E20" s="778"/>
      <c r="F20" s="857">
        <f>SUM(F15:F19)</f>
        <v>0</v>
      </c>
      <c r="G20" s="741"/>
      <c r="H20" s="741"/>
    </row>
    <row r="21" spans="1:43" ht="15.75" thickTop="1"/>
    <row r="22" spans="1:43">
      <c r="F22" s="870">
        <f>+F20+F10</f>
        <v>0</v>
      </c>
    </row>
  </sheetData>
  <sheetProtection algorithmName="SHA-512" hashValue="CVLM5eNTM2YZjNpKWoB+Bh9+IBDLSyMae6K9I7VgQl4xmXRtGZa9fiagTtvTrjAtXofUnH6Vo6XSIqxj8+1XuA==" saltValue="05YiLaU4fGyhyUHE+5rO1w==" spinCount="100000" sheet="1" objects="1" scenarios="1" selectLockedCells="1"/>
  <customSheetViews>
    <customSheetView guid="{14FA32B8-8DA0-4B39-A6E2-254F8891DDCC}" scale="115" showPageBreaks="1" printArea="1" view="pageBreakPreview">
      <selection activeCell="F22" sqref="F22"/>
      <pageMargins left="0.7" right="0.7" top="0.75" bottom="0.75" header="0.3" footer="0.3"/>
      <pageSetup paperSize="9" scale="69"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69" orientation="portrait" r:id="rId2"/>
  <headerFooter>
    <oddHeader>&amp;CUREDITEV RAFUTSKEGA PARKA Z LAŠČAKOVO VILO - Park&amp;RLUZ, d.d.</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M374"/>
  <sheetViews>
    <sheetView view="pageBreakPreview" zoomScale="90" zoomScaleNormal="85" zoomScaleSheetLayoutView="90" workbookViewId="0">
      <pane ySplit="2" topLeftCell="A232" activePane="bottomLeft" state="frozen"/>
      <selection activeCell="C1" sqref="C1"/>
      <selection pane="bottomLeft" activeCell="E280" sqref="E280"/>
    </sheetView>
  </sheetViews>
  <sheetFormatPr defaultColWidth="9.140625" defaultRowHeight="12.75"/>
  <cols>
    <col min="1" max="1" width="24.140625" style="917" bestFit="1" customWidth="1"/>
    <col min="2" max="2" width="56.85546875" style="923" customWidth="1"/>
    <col min="3" max="3" width="6.140625" style="924" bestFit="1" customWidth="1"/>
    <col min="4" max="4" width="8.5703125" style="925" customWidth="1"/>
    <col min="5" max="5" width="10.140625" style="926" bestFit="1" customWidth="1"/>
    <col min="6" max="6" width="11.28515625" style="927" customWidth="1"/>
    <col min="7" max="9" width="11.28515625" style="919" customWidth="1"/>
    <col min="10" max="16384" width="9.140625" style="919"/>
  </cols>
  <sheetData>
    <row r="1" spans="1:9" s="877" customFormat="1">
      <c r="A1" s="872"/>
      <c r="B1" s="872"/>
      <c r="C1" s="873"/>
      <c r="D1" s="874"/>
      <c r="E1" s="875"/>
      <c r="F1" s="876"/>
    </row>
    <row r="2" spans="1:9" s="877" customFormat="1" ht="45">
      <c r="A2" s="872"/>
      <c r="B2" s="872"/>
      <c r="C2" s="873"/>
      <c r="D2" s="874"/>
      <c r="E2" s="875"/>
      <c r="F2" s="878" t="s">
        <v>1607</v>
      </c>
      <c r="G2" s="879" t="s">
        <v>1597</v>
      </c>
      <c r="H2" s="880"/>
      <c r="I2" s="880"/>
    </row>
    <row r="3" spans="1:9" s="877" customFormat="1">
      <c r="A3" s="872"/>
      <c r="B3" s="872"/>
      <c r="C3" s="873"/>
      <c r="D3" s="874"/>
      <c r="E3" s="875"/>
      <c r="F3" s="876"/>
    </row>
    <row r="4" spans="1:9" s="877" customFormat="1">
      <c r="A4" s="872"/>
      <c r="B4" s="872"/>
      <c r="C4" s="873"/>
      <c r="D4" s="874"/>
      <c r="E4" s="875"/>
      <c r="F4" s="876"/>
    </row>
    <row r="5" spans="1:9" s="877" customFormat="1">
      <c r="A5" s="872"/>
      <c r="B5" s="872"/>
      <c r="C5" s="873"/>
      <c r="D5" s="874"/>
      <c r="E5" s="875"/>
      <c r="F5" s="876"/>
    </row>
    <row r="6" spans="1:9" s="886" customFormat="1">
      <c r="A6" s="881"/>
      <c r="B6" s="882"/>
      <c r="C6" s="882"/>
      <c r="D6" s="883"/>
      <c r="E6" s="884"/>
      <c r="F6" s="885"/>
    </row>
    <row r="7" spans="1:9" s="886" customFormat="1">
      <c r="A7" s="887" t="s">
        <v>87</v>
      </c>
      <c r="B7" s="888" t="s">
        <v>88</v>
      </c>
      <c r="D7" s="885"/>
      <c r="E7" s="884"/>
      <c r="F7" s="885"/>
    </row>
    <row r="8" spans="1:9" s="886" customFormat="1">
      <c r="A8" s="887"/>
      <c r="B8" s="888"/>
      <c r="D8" s="885"/>
      <c r="E8" s="884"/>
      <c r="F8" s="885"/>
    </row>
    <row r="9" spans="1:9" s="886" customFormat="1">
      <c r="A9" s="887"/>
      <c r="B9" s="888"/>
      <c r="D9" s="885"/>
      <c r="E9" s="884"/>
      <c r="F9" s="885"/>
    </row>
    <row r="10" spans="1:9" s="886" customFormat="1">
      <c r="A10" s="887"/>
      <c r="B10" s="888"/>
      <c r="D10" s="885"/>
      <c r="E10" s="884"/>
      <c r="F10" s="885"/>
    </row>
    <row r="11" spans="1:9" s="886" customFormat="1">
      <c r="A11" s="889"/>
      <c r="D11" s="885"/>
      <c r="E11" s="884"/>
      <c r="F11" s="885"/>
    </row>
    <row r="12" spans="1:9" s="886" customFormat="1">
      <c r="A12" s="887" t="s">
        <v>89</v>
      </c>
      <c r="B12" s="890" t="s">
        <v>90</v>
      </c>
      <c r="D12" s="885"/>
      <c r="E12" s="884"/>
      <c r="F12" s="885"/>
    </row>
    <row r="13" spans="1:9" s="886" customFormat="1">
      <c r="A13" s="887"/>
      <c r="B13" s="890"/>
      <c r="D13" s="885"/>
      <c r="E13" s="884"/>
      <c r="F13" s="885"/>
    </row>
    <row r="14" spans="1:9" s="886" customFormat="1">
      <c r="A14" s="887"/>
      <c r="B14" s="890"/>
      <c r="D14" s="885"/>
      <c r="E14" s="884"/>
      <c r="F14" s="885"/>
    </row>
    <row r="15" spans="1:9" s="886" customFormat="1">
      <c r="A15" s="887"/>
      <c r="B15" s="888"/>
      <c r="D15" s="885"/>
      <c r="E15" s="884"/>
      <c r="F15" s="885"/>
    </row>
    <row r="16" spans="1:9" s="886" customFormat="1">
      <c r="A16" s="889"/>
      <c r="B16" s="891"/>
      <c r="D16" s="885"/>
      <c r="E16" s="884"/>
      <c r="F16" s="885"/>
    </row>
    <row r="17" spans="1:13" s="886" customFormat="1" ht="38.25">
      <c r="A17" s="887" t="s">
        <v>93</v>
      </c>
      <c r="B17" s="891" t="s">
        <v>39</v>
      </c>
      <c r="D17" s="885"/>
      <c r="E17" s="884"/>
      <c r="F17" s="885"/>
    </row>
    <row r="18" spans="1:13" s="886" customFormat="1">
      <c r="A18" s="889"/>
      <c r="B18" s="892"/>
      <c r="D18" s="885"/>
      <c r="E18" s="884"/>
      <c r="F18" s="885"/>
    </row>
    <row r="19" spans="1:13" s="886" customFormat="1">
      <c r="A19" s="889"/>
      <c r="B19" s="892"/>
      <c r="D19" s="885"/>
      <c r="E19" s="884"/>
      <c r="F19" s="885"/>
    </row>
    <row r="20" spans="1:13" s="886" customFormat="1">
      <c r="A20" s="887" t="s">
        <v>94</v>
      </c>
      <c r="B20" s="893">
        <v>8697</v>
      </c>
      <c r="D20" s="885"/>
      <c r="E20" s="884"/>
      <c r="F20" s="885"/>
    </row>
    <row r="21" spans="1:13" s="886" customFormat="1">
      <c r="A21" s="887"/>
      <c r="B21" s="893"/>
      <c r="D21" s="885"/>
      <c r="E21" s="884"/>
      <c r="F21" s="885"/>
    </row>
    <row r="22" spans="1:13" s="886" customFormat="1">
      <c r="A22" s="889"/>
      <c r="B22" s="892"/>
      <c r="D22" s="885"/>
      <c r="E22" s="884"/>
      <c r="F22" s="885"/>
    </row>
    <row r="23" spans="1:13" s="886" customFormat="1">
      <c r="A23" s="887" t="s">
        <v>95</v>
      </c>
      <c r="B23" s="893" t="s">
        <v>96</v>
      </c>
      <c r="D23" s="885"/>
      <c r="E23" s="884"/>
      <c r="F23" s="885"/>
    </row>
    <row r="24" spans="1:13" s="886" customFormat="1">
      <c r="A24" s="887"/>
      <c r="B24" s="893"/>
      <c r="D24" s="885"/>
      <c r="E24" s="884"/>
      <c r="F24" s="885"/>
    </row>
    <row r="25" spans="1:13" s="886" customFormat="1">
      <c r="A25" s="889"/>
      <c r="B25" s="892"/>
      <c r="D25" s="885"/>
      <c r="E25" s="884"/>
      <c r="F25" s="885"/>
    </row>
    <row r="26" spans="1:13" s="886" customFormat="1">
      <c r="A26" s="887" t="s">
        <v>97</v>
      </c>
      <c r="B26" s="893" t="s">
        <v>27</v>
      </c>
      <c r="D26" s="885"/>
      <c r="E26" s="884"/>
      <c r="F26" s="885"/>
    </row>
    <row r="27" spans="1:13" s="886" customFormat="1">
      <c r="A27" s="889"/>
      <c r="B27" s="891"/>
      <c r="D27" s="885"/>
      <c r="E27" s="884"/>
      <c r="F27" s="885"/>
    </row>
    <row r="28" spans="1:13" s="886" customFormat="1">
      <c r="A28" s="889"/>
      <c r="B28" s="891"/>
      <c r="D28" s="885"/>
      <c r="E28" s="884"/>
      <c r="F28" s="885"/>
    </row>
    <row r="29" spans="1:13" s="886" customFormat="1">
      <c r="A29" s="887" t="s">
        <v>98</v>
      </c>
      <c r="B29" s="894" t="s">
        <v>1411</v>
      </c>
      <c r="D29" s="885"/>
      <c r="E29" s="884"/>
      <c r="F29" s="885"/>
    </row>
    <row r="30" spans="1:13" s="886" customFormat="1">
      <c r="A30" s="895"/>
      <c r="B30" s="882"/>
      <c r="C30" s="882"/>
      <c r="D30" s="883"/>
      <c r="E30" s="884"/>
      <c r="F30" s="885"/>
    </row>
    <row r="31" spans="1:13" s="877" customFormat="1">
      <c r="A31" s="872"/>
      <c r="B31" s="872"/>
      <c r="C31" s="873"/>
      <c r="D31" s="874"/>
      <c r="E31" s="875"/>
      <c r="F31" s="876"/>
    </row>
    <row r="32" spans="1:13" s="897" customFormat="1">
      <c r="A32" s="278"/>
      <c r="B32" s="279"/>
      <c r="C32" s="106"/>
      <c r="D32" s="483"/>
      <c r="E32" s="509"/>
      <c r="F32" s="501"/>
      <c r="G32" s="896"/>
      <c r="H32" s="896"/>
      <c r="I32" s="896"/>
      <c r="J32" s="896"/>
      <c r="K32" s="896"/>
      <c r="L32" s="896"/>
      <c r="M32" s="896"/>
    </row>
    <row r="33" spans="1:13" s="897" customFormat="1">
      <c r="A33" s="105"/>
      <c r="B33" s="106"/>
      <c r="C33" s="107"/>
      <c r="D33" s="484"/>
      <c r="E33" s="501"/>
      <c r="F33" s="898"/>
      <c r="G33" s="896"/>
      <c r="H33" s="896"/>
      <c r="I33" s="896"/>
      <c r="J33" s="896"/>
      <c r="K33" s="896"/>
      <c r="L33" s="896"/>
      <c r="M33" s="896"/>
    </row>
    <row r="34" spans="1:13" s="897" customFormat="1">
      <c r="A34" s="105"/>
      <c r="B34" s="106"/>
      <c r="C34" s="107"/>
      <c r="D34" s="484"/>
      <c r="E34" s="501"/>
      <c r="F34" s="898"/>
      <c r="G34" s="896"/>
      <c r="H34" s="896"/>
      <c r="I34" s="896"/>
      <c r="J34" s="896"/>
      <c r="K34" s="896"/>
      <c r="L34" s="896"/>
      <c r="M34" s="896"/>
    </row>
    <row r="35" spans="1:13" s="897" customFormat="1">
      <c r="A35" s="105"/>
      <c r="B35" s="106"/>
      <c r="C35" s="107"/>
      <c r="D35" s="484"/>
      <c r="E35" s="501"/>
      <c r="F35" s="898"/>
      <c r="G35" s="896"/>
      <c r="H35" s="896"/>
      <c r="I35" s="896"/>
      <c r="J35" s="896"/>
      <c r="K35" s="896"/>
      <c r="L35" s="896"/>
      <c r="M35" s="896"/>
    </row>
    <row r="36" spans="1:13" s="899" customFormat="1" ht="15.75">
      <c r="B36" s="275" t="s">
        <v>199</v>
      </c>
      <c r="C36" s="275"/>
      <c r="D36" s="486"/>
      <c r="E36" s="510"/>
      <c r="F36" s="487"/>
      <c r="K36" s="900"/>
      <c r="L36" s="900"/>
      <c r="M36" s="900"/>
    </row>
    <row r="37" spans="1:13" s="901" customFormat="1" ht="12">
      <c r="A37" s="84"/>
      <c r="B37" s="276"/>
      <c r="C37" s="276"/>
      <c r="D37" s="488"/>
      <c r="E37" s="511"/>
      <c r="F37" s="489"/>
      <c r="K37" s="902"/>
      <c r="L37" s="902"/>
      <c r="M37" s="902"/>
    </row>
    <row r="38" spans="1:13" s="902" customFormat="1">
      <c r="A38" s="85"/>
      <c r="B38" s="86" t="s">
        <v>200</v>
      </c>
      <c r="C38" s="87"/>
      <c r="D38" s="90"/>
      <c r="E38" s="903"/>
      <c r="F38" s="903"/>
    </row>
    <row r="39" spans="1:13" s="903" customFormat="1">
      <c r="A39" s="88"/>
      <c r="B39" s="89"/>
      <c r="C39" s="90"/>
      <c r="D39" s="90"/>
    </row>
    <row r="40" spans="1:13" s="903" customFormat="1" ht="12">
      <c r="A40" s="88"/>
      <c r="B40" s="91"/>
      <c r="C40" s="90"/>
      <c r="D40" s="90"/>
    </row>
    <row r="41" spans="1:13" s="903" customFormat="1" ht="12">
      <c r="A41" s="88"/>
      <c r="B41" s="92" t="s">
        <v>201</v>
      </c>
      <c r="C41" s="90"/>
      <c r="D41" s="90"/>
      <c r="E41" s="478">
        <f>F41+G41</f>
        <v>0</v>
      </c>
      <c r="F41" s="93">
        <f>F96</f>
        <v>0</v>
      </c>
      <c r="G41" s="904">
        <f>G96</f>
        <v>0</v>
      </c>
      <c r="H41" s="494">
        <f>H96</f>
        <v>0</v>
      </c>
      <c r="I41" s="494"/>
    </row>
    <row r="42" spans="1:13" s="903" customFormat="1" ht="12">
      <c r="A42" s="88"/>
      <c r="B42" s="92"/>
      <c r="C42" s="90"/>
      <c r="D42" s="90"/>
      <c r="E42" s="479"/>
      <c r="F42" s="94"/>
    </row>
    <row r="43" spans="1:13" s="903" customFormat="1" ht="12">
      <c r="A43" s="88"/>
      <c r="B43" s="92" t="s">
        <v>169</v>
      </c>
      <c r="C43" s="90"/>
      <c r="D43" s="90"/>
      <c r="E43" s="478">
        <f>F43+G43</f>
        <v>0</v>
      </c>
      <c r="F43" s="93">
        <f>F273</f>
        <v>0</v>
      </c>
      <c r="G43" s="905"/>
      <c r="H43" s="494">
        <f>H273</f>
        <v>0</v>
      </c>
    </row>
    <row r="44" spans="1:13" s="901" customFormat="1" ht="12">
      <c r="A44" s="84"/>
      <c r="B44" s="906"/>
      <c r="C44" s="95"/>
      <c r="D44" s="490"/>
      <c r="E44" s="491"/>
      <c r="F44" s="94"/>
      <c r="K44" s="902"/>
      <c r="L44" s="902"/>
      <c r="M44" s="902"/>
    </row>
    <row r="45" spans="1:13" s="901" customFormat="1" ht="12">
      <c r="A45" s="84"/>
      <c r="B45" s="348" t="s">
        <v>1717</v>
      </c>
      <c r="C45" s="95"/>
      <c r="D45" s="490"/>
      <c r="E45" s="478">
        <f>F45+G45</f>
        <v>0</v>
      </c>
      <c r="F45" s="93">
        <f>F374</f>
        <v>0</v>
      </c>
      <c r="G45" s="907"/>
      <c r="H45" s="908">
        <f>SUM(F45:G45)</f>
        <v>0</v>
      </c>
      <c r="I45" s="902"/>
      <c r="K45" s="902"/>
      <c r="L45" s="902"/>
      <c r="M45" s="902"/>
    </row>
    <row r="46" spans="1:13" s="909" customFormat="1" ht="12">
      <c r="A46" s="276"/>
      <c r="B46" s="96"/>
      <c r="C46" s="97"/>
      <c r="D46" s="492"/>
      <c r="E46" s="493"/>
      <c r="F46" s="494"/>
      <c r="K46" s="910"/>
      <c r="L46" s="910"/>
      <c r="M46" s="910"/>
    </row>
    <row r="47" spans="1:13" s="901" customFormat="1" ht="12">
      <c r="A47" s="84"/>
      <c r="B47" s="98"/>
      <c r="C47" s="95"/>
      <c r="D47" s="490"/>
      <c r="E47" s="495"/>
      <c r="F47" s="496"/>
      <c r="G47" s="911"/>
      <c r="H47" s="911"/>
      <c r="I47" s="902"/>
      <c r="K47" s="902"/>
      <c r="L47" s="902"/>
      <c r="M47" s="902"/>
    </row>
    <row r="48" spans="1:13" s="901" customFormat="1" ht="12">
      <c r="A48" s="84"/>
      <c r="B48" s="99" t="s">
        <v>8</v>
      </c>
      <c r="C48" s="100"/>
      <c r="D48" s="497"/>
      <c r="E48" s="478">
        <f>F48+G48</f>
        <v>0</v>
      </c>
      <c r="F48" s="498">
        <f>SUM(F41:F45)</f>
        <v>0</v>
      </c>
      <c r="G48" s="912">
        <f>SUM(G41:G45)</f>
        <v>0</v>
      </c>
      <c r="H48" s="913">
        <f>SUM(H39:H46)</f>
        <v>0</v>
      </c>
      <c r="I48" s="913"/>
      <c r="K48" s="902"/>
      <c r="L48" s="902"/>
      <c r="M48" s="902"/>
    </row>
    <row r="49" spans="1:13" s="897" customFormat="1">
      <c r="A49" s="102"/>
      <c r="B49" s="98"/>
      <c r="C49" s="95"/>
      <c r="D49" s="490"/>
      <c r="E49" s="495"/>
      <c r="F49" s="489"/>
      <c r="K49" s="896"/>
      <c r="L49" s="896"/>
      <c r="M49" s="896"/>
    </row>
    <row r="50" spans="1:13" s="897" customFormat="1">
      <c r="A50" s="102"/>
      <c r="B50" s="101" t="s">
        <v>202</v>
      </c>
      <c r="C50" s="95"/>
      <c r="D50" s="490"/>
      <c r="E50" s="478">
        <f>F50+G50</f>
        <v>0</v>
      </c>
      <c r="F50" s="93">
        <f>F48*0.22</f>
        <v>0</v>
      </c>
      <c r="G50" s="914">
        <f>G48*0.22</f>
        <v>0</v>
      </c>
      <c r="H50" s="908">
        <f>H48*0.22</f>
        <v>0</v>
      </c>
      <c r="I50" s="915"/>
      <c r="K50" s="896"/>
      <c r="L50" s="896"/>
      <c r="M50" s="896"/>
    </row>
    <row r="51" spans="1:13" s="897" customFormat="1" ht="15">
      <c r="A51" s="108"/>
      <c r="B51" s="103"/>
      <c r="C51" s="104"/>
      <c r="D51" s="499"/>
      <c r="E51" s="500"/>
      <c r="F51" s="501"/>
      <c r="K51" s="896"/>
      <c r="L51" s="896"/>
      <c r="M51" s="896"/>
    </row>
    <row r="52" spans="1:13" s="897" customFormat="1">
      <c r="A52" s="102"/>
      <c r="B52" s="105"/>
      <c r="C52" s="106"/>
      <c r="D52" s="483"/>
      <c r="E52" s="485"/>
      <c r="F52" s="502"/>
      <c r="G52" s="916"/>
      <c r="H52" s="916"/>
      <c r="I52" s="896"/>
      <c r="K52" s="896"/>
      <c r="L52" s="896"/>
      <c r="M52" s="896"/>
    </row>
    <row r="53" spans="1:13" ht="15">
      <c r="B53" s="277" t="s">
        <v>203</v>
      </c>
      <c r="C53" s="277"/>
      <c r="D53" s="503"/>
      <c r="E53" s="515">
        <f>SUM(E47:E51)</f>
        <v>0</v>
      </c>
      <c r="F53" s="504">
        <f>SUM(F47:F51)</f>
        <v>0</v>
      </c>
      <c r="G53" s="918">
        <f>SUM(G47:G51)</f>
        <v>0</v>
      </c>
      <c r="H53" s="918">
        <f>SUM(H48:H51)</f>
        <v>0</v>
      </c>
      <c r="I53" s="918"/>
    </row>
    <row r="54" spans="1:13" s="920" customFormat="1" ht="13.5" thickBot="1">
      <c r="B54" s="109"/>
      <c r="C54" s="110"/>
      <c r="D54" s="505"/>
      <c r="E54" s="506"/>
      <c r="F54" s="507"/>
      <c r="G54" s="921"/>
      <c r="H54" s="922"/>
      <c r="I54" s="922"/>
    </row>
    <row r="55" spans="1:13" ht="13.5" thickTop="1">
      <c r="H55" s="928"/>
    </row>
    <row r="56" spans="1:13" ht="13.5" thickBot="1">
      <c r="A56" s="929"/>
      <c r="B56" s="930"/>
      <c r="C56" s="931"/>
      <c r="D56" s="932"/>
      <c r="E56" s="933"/>
      <c r="F56" s="934"/>
      <c r="H56" s="920"/>
    </row>
    <row r="57" spans="1:13" ht="15.75">
      <c r="B57" s="935" t="s">
        <v>86</v>
      </c>
      <c r="C57" s="936"/>
      <c r="D57" s="937"/>
      <c r="E57" s="938"/>
      <c r="F57" s="939"/>
      <c r="G57" s="940"/>
      <c r="H57" s="922"/>
      <c r="I57" s="922"/>
    </row>
    <row r="58" spans="1:13">
      <c r="B58" s="941"/>
      <c r="E58" s="942"/>
      <c r="F58" s="943"/>
    </row>
    <row r="59" spans="1:13">
      <c r="E59" s="944"/>
    </row>
    <row r="60" spans="1:13">
      <c r="A60" s="945" t="s">
        <v>87</v>
      </c>
      <c r="B60" s="946" t="s">
        <v>88</v>
      </c>
      <c r="E60" s="944"/>
    </row>
    <row r="61" spans="1:13">
      <c r="A61" s="947"/>
      <c r="E61" s="944"/>
    </row>
    <row r="62" spans="1:13">
      <c r="A62" s="945" t="s">
        <v>89</v>
      </c>
      <c r="B62" s="946" t="s">
        <v>90</v>
      </c>
      <c r="E62" s="944"/>
    </row>
    <row r="63" spans="1:13">
      <c r="A63" s="945"/>
      <c r="B63" s="946"/>
      <c r="E63" s="944"/>
    </row>
    <row r="64" spans="1:13" ht="25.5">
      <c r="A64" s="945" t="s">
        <v>91</v>
      </c>
      <c r="B64" s="946" t="s">
        <v>92</v>
      </c>
      <c r="E64" s="944"/>
    </row>
    <row r="65" spans="1:9">
      <c r="A65" s="947"/>
      <c r="E65" s="944"/>
    </row>
    <row r="66" spans="1:9" ht="38.25">
      <c r="A66" s="945" t="s">
        <v>93</v>
      </c>
      <c r="B66" s="923" t="s">
        <v>39</v>
      </c>
      <c r="E66" s="944"/>
    </row>
    <row r="67" spans="1:9">
      <c r="A67" s="947"/>
      <c r="E67" s="944"/>
    </row>
    <row r="68" spans="1:9">
      <c r="A68" s="947"/>
      <c r="E68" s="944"/>
    </row>
    <row r="69" spans="1:9">
      <c r="A69" s="945" t="s">
        <v>94</v>
      </c>
      <c r="B69" s="948">
        <v>8697</v>
      </c>
      <c r="E69" s="944"/>
    </row>
    <row r="70" spans="1:9">
      <c r="A70" s="947"/>
      <c r="E70" s="944"/>
    </row>
    <row r="71" spans="1:9">
      <c r="A71" s="945" t="s">
        <v>95</v>
      </c>
      <c r="B71" s="948" t="s">
        <v>96</v>
      </c>
      <c r="E71" s="944"/>
    </row>
    <row r="72" spans="1:9">
      <c r="A72" s="947"/>
      <c r="E72" s="944"/>
    </row>
    <row r="73" spans="1:9">
      <c r="A73" s="947"/>
      <c r="E73" s="944"/>
    </row>
    <row r="74" spans="1:9">
      <c r="A74" s="945" t="s">
        <v>97</v>
      </c>
      <c r="B74" s="923" t="s">
        <v>27</v>
      </c>
      <c r="E74" s="944"/>
    </row>
    <row r="75" spans="1:9">
      <c r="A75" s="947"/>
      <c r="E75" s="944"/>
    </row>
    <row r="76" spans="1:9">
      <c r="A76" s="945" t="s">
        <v>98</v>
      </c>
      <c r="B76" s="949" t="s">
        <v>1411</v>
      </c>
      <c r="E76" s="944"/>
    </row>
    <row r="77" spans="1:9">
      <c r="B77" s="949"/>
      <c r="E77" s="944"/>
    </row>
    <row r="78" spans="1:9" ht="13.5" thickBot="1">
      <c r="A78" s="929"/>
      <c r="B78" s="930"/>
      <c r="C78" s="931"/>
      <c r="D78" s="932"/>
      <c r="E78" s="933"/>
      <c r="F78" s="944"/>
    </row>
    <row r="79" spans="1:9" s="957" customFormat="1">
      <c r="A79" s="950"/>
      <c r="B79" s="951"/>
      <c r="C79" s="952"/>
      <c r="D79" s="953"/>
      <c r="E79" s="926"/>
      <c r="F79" s="954"/>
      <c r="G79" s="955"/>
      <c r="H79" s="955"/>
      <c r="I79" s="956"/>
    </row>
    <row r="81" spans="1:10">
      <c r="B81" s="958" t="s">
        <v>99</v>
      </c>
      <c r="C81" s="959"/>
      <c r="D81" s="960"/>
      <c r="E81" s="961"/>
      <c r="F81" s="962"/>
    </row>
    <row r="83" spans="1:10" s="963" customFormat="1">
      <c r="B83" s="923"/>
      <c r="C83" s="924"/>
      <c r="D83" s="925"/>
      <c r="E83" s="926"/>
      <c r="F83" s="927"/>
    </row>
    <row r="84" spans="1:10" s="963" customFormat="1">
      <c r="B84" s="923"/>
      <c r="C84" s="924"/>
      <c r="D84" s="925"/>
      <c r="E84" s="926"/>
      <c r="F84" s="927"/>
    </row>
    <row r="85" spans="1:10" s="963" customFormat="1">
      <c r="A85" s="964">
        <v>1</v>
      </c>
      <c r="B85" s="945" t="s">
        <v>100</v>
      </c>
      <c r="C85" s="965"/>
      <c r="D85" s="966"/>
      <c r="E85" s="967" t="s">
        <v>101</v>
      </c>
      <c r="F85" s="968">
        <f>F129</f>
        <v>0</v>
      </c>
      <c r="G85" s="969">
        <f>G129</f>
        <v>0</v>
      </c>
      <c r="H85" s="969">
        <f>H129</f>
        <v>0</v>
      </c>
      <c r="I85" s="969"/>
    </row>
    <row r="86" spans="1:10" s="963" customFormat="1">
      <c r="A86" s="964"/>
      <c r="B86" s="970"/>
      <c r="C86" s="965"/>
      <c r="D86" s="966"/>
      <c r="E86" s="967"/>
      <c r="F86" s="968"/>
    </row>
    <row r="87" spans="1:10">
      <c r="A87" s="964"/>
      <c r="B87" s="970"/>
      <c r="C87" s="965"/>
      <c r="D87" s="966"/>
      <c r="E87" s="967"/>
      <c r="F87" s="968"/>
    </row>
    <row r="88" spans="1:10">
      <c r="A88" s="964">
        <v>2</v>
      </c>
      <c r="B88" s="945" t="s">
        <v>102</v>
      </c>
      <c r="C88" s="965"/>
      <c r="D88" s="966"/>
      <c r="E88" s="967" t="s">
        <v>101</v>
      </c>
      <c r="F88" s="968">
        <f>F170</f>
        <v>0</v>
      </c>
      <c r="G88" s="969">
        <f>G170</f>
        <v>0</v>
      </c>
      <c r="H88" s="969">
        <f>H170</f>
        <v>0</v>
      </c>
      <c r="I88" s="969"/>
    </row>
    <row r="89" spans="1:10" s="971" customFormat="1">
      <c r="A89" s="964"/>
      <c r="B89" s="923"/>
      <c r="C89" s="924"/>
      <c r="D89" s="925"/>
      <c r="E89" s="926"/>
      <c r="F89" s="927"/>
    </row>
    <row r="90" spans="1:10" s="963" customFormat="1">
      <c r="A90" s="964"/>
      <c r="B90" s="923"/>
      <c r="C90" s="924"/>
      <c r="D90" s="925"/>
      <c r="E90" s="926"/>
      <c r="F90" s="972"/>
    </row>
    <row r="91" spans="1:10" s="963" customFormat="1">
      <c r="A91" s="973">
        <v>3</v>
      </c>
      <c r="B91" s="974" t="s">
        <v>103</v>
      </c>
      <c r="C91" s="975"/>
      <c r="D91" s="976"/>
      <c r="E91" s="967" t="s">
        <v>101</v>
      </c>
      <c r="F91" s="977">
        <f>F225</f>
        <v>0</v>
      </c>
      <c r="G91" s="978">
        <f>G225</f>
        <v>0</v>
      </c>
      <c r="H91" s="978">
        <f>H225</f>
        <v>0</v>
      </c>
      <c r="I91" s="978"/>
    </row>
    <row r="92" spans="1:10" s="963" customFormat="1">
      <c r="A92" s="979"/>
      <c r="B92" s="974"/>
      <c r="C92" s="975"/>
      <c r="D92" s="976"/>
      <c r="E92" s="967"/>
      <c r="F92" s="977"/>
    </row>
    <row r="93" spans="1:10" s="963" customFormat="1">
      <c r="A93" s="979"/>
      <c r="B93" s="974"/>
      <c r="C93" s="975"/>
      <c r="D93" s="976"/>
      <c r="E93" s="967"/>
      <c r="F93" s="977"/>
    </row>
    <row r="94" spans="1:10" s="963" customFormat="1" ht="13.5" thickBot="1">
      <c r="A94" s="980"/>
      <c r="B94" s="981"/>
      <c r="C94" s="982"/>
      <c r="D94" s="983"/>
      <c r="E94" s="984"/>
      <c r="F94" s="977"/>
    </row>
    <row r="95" spans="1:10" s="963" customFormat="1" ht="13.5" thickTop="1">
      <c r="A95" s="979"/>
      <c r="B95" s="974"/>
      <c r="C95" s="975"/>
      <c r="D95" s="976"/>
      <c r="E95" s="967"/>
      <c r="F95" s="985"/>
      <c r="G95" s="986"/>
      <c r="H95" s="986"/>
      <c r="I95" s="971"/>
    </row>
    <row r="96" spans="1:10">
      <c r="B96" s="945" t="s">
        <v>104</v>
      </c>
      <c r="C96" s="965"/>
      <c r="D96" s="966"/>
      <c r="E96" s="967" t="s">
        <v>101</v>
      </c>
      <c r="F96" s="968">
        <f>SUM(F81:F93)</f>
        <v>0</v>
      </c>
      <c r="G96" s="978">
        <f>SUM(G83:G93)</f>
        <v>0</v>
      </c>
      <c r="H96" s="978">
        <f>SUM(H83:H94)</f>
        <v>0</v>
      </c>
      <c r="I96" s="978"/>
      <c r="J96" s="987"/>
    </row>
    <row r="97" spans="1:9" ht="13.5" thickBot="1">
      <c r="A97" s="929"/>
      <c r="B97" s="988"/>
      <c r="C97" s="989"/>
      <c r="D97" s="990"/>
      <c r="E97" s="991"/>
      <c r="F97" s="992"/>
      <c r="G97" s="920"/>
      <c r="H97" s="920"/>
      <c r="I97" s="922"/>
    </row>
    <row r="98" spans="1:9" s="993" customFormat="1">
      <c r="A98" s="917"/>
      <c r="B98" s="970"/>
      <c r="C98" s="965"/>
      <c r="D98" s="966"/>
      <c r="E98" s="967"/>
      <c r="F98" s="968"/>
    </row>
    <row r="99" spans="1:9" s="1000" customFormat="1" ht="14.25">
      <c r="A99" s="994">
        <v>1</v>
      </c>
      <c r="B99" s="995" t="s">
        <v>100</v>
      </c>
      <c r="C99" s="996" t="s">
        <v>1682</v>
      </c>
      <c r="D99" s="997" t="s">
        <v>1681</v>
      </c>
      <c r="E99" s="998" t="s">
        <v>101</v>
      </c>
      <c r="F99" s="999"/>
    </row>
    <row r="100" spans="1:9" s="1000" customFormat="1">
      <c r="A100" s="1001"/>
      <c r="B100" s="1002"/>
      <c r="C100" s="1003"/>
      <c r="D100" s="1003"/>
      <c r="E100" s="1004"/>
      <c r="F100" s="1005"/>
      <c r="G100" s="1006"/>
      <c r="H100" s="1006"/>
      <c r="I100" s="1006"/>
    </row>
    <row r="101" spans="1:9" s="993" customFormat="1" ht="36">
      <c r="A101" s="1007">
        <v>1.02</v>
      </c>
      <c r="B101" s="1008" t="s">
        <v>105</v>
      </c>
      <c r="C101" s="1009" t="s">
        <v>40</v>
      </c>
      <c r="D101" s="1009">
        <v>4</v>
      </c>
      <c r="E101" s="480"/>
      <c r="F101" s="463">
        <f>D101*E101*0.5</f>
        <v>0</v>
      </c>
      <c r="G101" s="463">
        <f>D101*E101*0.5</f>
        <v>0</v>
      </c>
      <c r="H101" s="463"/>
      <c r="I101" s="463"/>
    </row>
    <row r="102" spans="1:9" s="993" customFormat="1" ht="12">
      <c r="A102" s="1011"/>
      <c r="B102" s="1009"/>
      <c r="E102" s="1010"/>
      <c r="G102" s="463"/>
      <c r="H102" s="463"/>
      <c r="I102" s="463"/>
    </row>
    <row r="103" spans="1:9" s="993" customFormat="1" ht="24">
      <c r="A103" s="1007">
        <v>1.03</v>
      </c>
      <c r="B103" s="1008" t="s">
        <v>106</v>
      </c>
      <c r="C103" s="1009" t="s">
        <v>40</v>
      </c>
      <c r="D103" s="1009">
        <v>1</v>
      </c>
      <c r="E103" s="480"/>
      <c r="F103" s="463">
        <f>D103*E103*0.5</f>
        <v>0</v>
      </c>
      <c r="G103" s="463">
        <f>D103*E103*0.5</f>
        <v>0</v>
      </c>
      <c r="H103" s="463"/>
      <c r="I103" s="463"/>
    </row>
    <row r="104" spans="1:9" s="993" customFormat="1" ht="12">
      <c r="A104" s="1011"/>
      <c r="B104" s="1009"/>
      <c r="E104" s="1010"/>
      <c r="G104" s="463"/>
      <c r="H104" s="463"/>
      <c r="I104" s="463"/>
    </row>
    <row r="105" spans="1:9" s="993" customFormat="1" ht="12">
      <c r="A105" s="1007">
        <v>1.04</v>
      </c>
      <c r="B105" s="1008" t="s">
        <v>108</v>
      </c>
      <c r="C105" s="1009" t="s">
        <v>11</v>
      </c>
      <c r="D105" s="1009">
        <v>2</v>
      </c>
      <c r="E105" s="481"/>
      <c r="F105" s="463">
        <f>D105*E105*0.5</f>
        <v>0</v>
      </c>
      <c r="G105" s="463">
        <f>D105*E105*0.5</f>
        <v>0</v>
      </c>
      <c r="H105" s="463"/>
      <c r="I105" s="463"/>
    </row>
    <row r="106" spans="1:9" s="993" customFormat="1" ht="12">
      <c r="A106" s="1011"/>
      <c r="B106" s="1009"/>
      <c r="E106" s="1010"/>
      <c r="G106" s="463"/>
      <c r="H106" s="463"/>
      <c r="I106" s="463"/>
    </row>
    <row r="107" spans="1:9" s="993" customFormat="1" ht="48">
      <c r="A107" s="1007">
        <v>1.05</v>
      </c>
      <c r="B107" s="1008" t="s">
        <v>109</v>
      </c>
      <c r="C107" s="1009" t="s">
        <v>40</v>
      </c>
      <c r="D107" s="1009">
        <v>2</v>
      </c>
      <c r="E107" s="481"/>
      <c r="F107" s="463">
        <f>D107*E107*0.5</f>
        <v>0</v>
      </c>
      <c r="G107" s="463">
        <f>D107*E107*0.5</f>
        <v>0</v>
      </c>
      <c r="H107" s="463"/>
      <c r="I107" s="463"/>
    </row>
    <row r="108" spans="1:9" s="993" customFormat="1" ht="12">
      <c r="A108" s="1007"/>
      <c r="B108" s="1008"/>
      <c r="C108" s="1009"/>
      <c r="D108" s="1009"/>
      <c r="E108" s="482"/>
      <c r="F108" s="463"/>
      <c r="G108" s="463"/>
      <c r="H108" s="463"/>
      <c r="I108" s="463"/>
    </row>
    <row r="109" spans="1:9" s="993" customFormat="1" ht="48">
      <c r="A109" s="1007">
        <v>1.06</v>
      </c>
      <c r="B109" s="1011" t="s">
        <v>1412</v>
      </c>
      <c r="C109" s="1009" t="s">
        <v>40</v>
      </c>
      <c r="D109" s="1009">
        <v>0.2</v>
      </c>
      <c r="E109" s="481"/>
      <c r="F109" s="463">
        <f>D109*E109*0.5</f>
        <v>0</v>
      </c>
      <c r="G109" s="463">
        <f>D109*E109*0.5</f>
        <v>0</v>
      </c>
      <c r="H109" s="463"/>
      <c r="I109" s="463"/>
    </row>
    <row r="110" spans="1:9" s="993" customFormat="1" ht="12">
      <c r="A110" s="1011"/>
      <c r="B110" s="1009"/>
      <c r="E110" s="1010"/>
      <c r="G110" s="463"/>
      <c r="H110" s="463"/>
      <c r="I110" s="463"/>
    </row>
    <row r="111" spans="1:9" s="1000" customFormat="1" ht="72">
      <c r="A111" s="1007">
        <v>1.07</v>
      </c>
      <c r="B111" s="1008" t="s">
        <v>1413</v>
      </c>
      <c r="C111" s="1009" t="s">
        <v>40</v>
      </c>
      <c r="D111" s="1009">
        <v>0.6</v>
      </c>
      <c r="E111" s="481"/>
      <c r="F111" s="463">
        <f>D111*E111*0.5</f>
        <v>0</v>
      </c>
      <c r="G111" s="1006">
        <f>D111*E111*0.5</f>
        <v>0</v>
      </c>
      <c r="H111" s="1006"/>
      <c r="I111" s="1006"/>
    </row>
    <row r="112" spans="1:9" s="1000" customFormat="1" ht="12">
      <c r="A112" s="1011"/>
      <c r="B112" s="1009"/>
      <c r="C112" s="993"/>
      <c r="D112" s="993"/>
      <c r="E112" s="1010"/>
      <c r="F112" s="993"/>
      <c r="G112" s="1006"/>
      <c r="H112" s="1006"/>
      <c r="I112" s="1006"/>
    </row>
    <row r="113" spans="1:9" s="1000" customFormat="1" ht="24">
      <c r="A113" s="1012">
        <v>1.08</v>
      </c>
      <c r="B113" s="1008" t="s">
        <v>1414</v>
      </c>
      <c r="C113" s="1009" t="s">
        <v>40</v>
      </c>
      <c r="D113" s="1009">
        <v>2</v>
      </c>
      <c r="E113" s="480"/>
      <c r="F113" s="463">
        <f>D113*E113*0.5</f>
        <v>0</v>
      </c>
      <c r="G113" s="1006">
        <f>D113*E113*0.5</f>
        <v>0</v>
      </c>
      <c r="H113" s="1006"/>
      <c r="I113" s="1006"/>
    </row>
    <row r="114" spans="1:9" s="993" customFormat="1" ht="12">
      <c r="A114" s="1013"/>
      <c r="B114" s="1014"/>
      <c r="C114" s="1015"/>
      <c r="D114" s="1009"/>
      <c r="E114" s="482"/>
      <c r="F114" s="463"/>
      <c r="G114" s="463"/>
      <c r="H114" s="463"/>
      <c r="I114" s="463"/>
    </row>
    <row r="115" spans="1:9" s="1000" customFormat="1" ht="95.25" customHeight="1">
      <c r="A115" s="83">
        <f>A113+0.01</f>
        <v>1.0900000000000001</v>
      </c>
      <c r="B115" s="1014" t="s">
        <v>110</v>
      </c>
      <c r="C115" s="1009" t="s">
        <v>10</v>
      </c>
      <c r="D115" s="1009">
        <v>1</v>
      </c>
      <c r="E115" s="480"/>
      <c r="F115" s="463">
        <f>D115*E115</f>
        <v>0</v>
      </c>
      <c r="G115" s="1006"/>
      <c r="H115" s="1006"/>
      <c r="I115" s="1006"/>
    </row>
    <row r="116" spans="1:9" s="1000" customFormat="1">
      <c r="A116" s="1016"/>
      <c r="B116" s="1017"/>
      <c r="C116" s="1018"/>
      <c r="D116" s="1019"/>
      <c r="E116" s="1020"/>
      <c r="F116" s="1021"/>
      <c r="G116" s="1006"/>
      <c r="H116" s="1006"/>
      <c r="I116" s="1006"/>
    </row>
    <row r="117" spans="1:9" s="1000" customFormat="1" ht="36">
      <c r="A117" s="83">
        <f>A115+0.01</f>
        <v>1.1000000000000001</v>
      </c>
      <c r="B117" s="1014" t="s">
        <v>111</v>
      </c>
      <c r="C117" s="1015" t="s">
        <v>10</v>
      </c>
      <c r="D117" s="1009">
        <v>1</v>
      </c>
      <c r="E117" s="481"/>
      <c r="F117" s="463"/>
      <c r="G117" s="1006">
        <f>D117*E117</f>
        <v>0</v>
      </c>
      <c r="H117" s="1006"/>
      <c r="I117" s="1006"/>
    </row>
    <row r="118" spans="1:9" s="1000" customFormat="1" ht="12">
      <c r="A118" s="1022"/>
      <c r="B118" s="1015"/>
      <c r="D118" s="993"/>
      <c r="E118" s="1010"/>
      <c r="F118" s="993"/>
      <c r="G118" s="1006"/>
      <c r="H118" s="1006"/>
      <c r="I118" s="1006"/>
    </row>
    <row r="119" spans="1:9" ht="36">
      <c r="A119" s="83">
        <f>A117+0.01</f>
        <v>1.1100000000000001</v>
      </c>
      <c r="B119" s="1014" t="s">
        <v>112</v>
      </c>
      <c r="C119" s="1015" t="s">
        <v>10</v>
      </c>
      <c r="D119" s="1009">
        <v>2</v>
      </c>
      <c r="E119" s="481"/>
      <c r="F119" s="463"/>
      <c r="G119" s="1006">
        <f>D119*E119</f>
        <v>0</v>
      </c>
      <c r="H119" s="1006"/>
      <c r="I119" s="1006"/>
    </row>
    <row r="120" spans="1:9" s="1000" customFormat="1" ht="12">
      <c r="A120" s="1012"/>
      <c r="B120" s="1014"/>
      <c r="C120" s="1015"/>
      <c r="D120" s="1009"/>
      <c r="E120" s="482"/>
      <c r="F120" s="463"/>
      <c r="G120" s="1006"/>
      <c r="H120" s="1006"/>
      <c r="I120" s="1006"/>
    </row>
    <row r="121" spans="1:9" s="1000" customFormat="1" ht="48">
      <c r="A121" s="83">
        <f>A119+0.01</f>
        <v>1.1200000000000001</v>
      </c>
      <c r="B121" s="1008" t="s">
        <v>113</v>
      </c>
      <c r="C121" s="1015" t="s">
        <v>10</v>
      </c>
      <c r="D121" s="1009">
        <v>1</v>
      </c>
      <c r="E121" s="481"/>
      <c r="F121" s="463"/>
      <c r="G121" s="1006">
        <f>D121*E121</f>
        <v>0</v>
      </c>
      <c r="H121" s="1006"/>
      <c r="I121" s="1006"/>
    </row>
    <row r="122" spans="1:9" s="1000" customFormat="1" ht="12">
      <c r="A122" s="1022"/>
      <c r="B122" s="1015"/>
      <c r="D122" s="993"/>
      <c r="E122" s="1010"/>
      <c r="F122" s="993"/>
      <c r="G122" s="1006"/>
      <c r="H122" s="1006"/>
      <c r="I122" s="1006"/>
    </row>
    <row r="123" spans="1:9" s="963" customFormat="1" ht="36">
      <c r="A123" s="83">
        <f>A121+0.01</f>
        <v>1.1300000000000001</v>
      </c>
      <c r="B123" s="1014" t="s">
        <v>114</v>
      </c>
      <c r="C123" s="1015" t="s">
        <v>10</v>
      </c>
      <c r="D123" s="1009">
        <v>1</v>
      </c>
      <c r="E123" s="481"/>
      <c r="F123" s="463"/>
      <c r="G123" s="1006">
        <f>D123*E123</f>
        <v>0</v>
      </c>
      <c r="H123" s="1006"/>
      <c r="I123" s="1006"/>
    </row>
    <row r="124" spans="1:9" s="963" customFormat="1">
      <c r="A124" s="1012"/>
      <c r="B124" s="1014"/>
      <c r="C124" s="1015"/>
      <c r="D124" s="1009"/>
      <c r="E124" s="482"/>
      <c r="F124" s="463"/>
      <c r="G124" s="1023"/>
      <c r="H124" s="1023"/>
      <c r="I124" s="1023"/>
    </row>
    <row r="125" spans="1:9" ht="24">
      <c r="A125" s="83">
        <f>A123+0.01</f>
        <v>1.1400000000000001</v>
      </c>
      <c r="B125" s="1014" t="s">
        <v>115</v>
      </c>
      <c r="C125" s="1015" t="s">
        <v>116</v>
      </c>
      <c r="D125" s="1009">
        <v>10</v>
      </c>
      <c r="E125" s="481"/>
      <c r="F125" s="463">
        <f>D125*E125*0.5</f>
        <v>0</v>
      </c>
      <c r="G125" s="1006">
        <f>D125*E125*0.5</f>
        <v>0</v>
      </c>
      <c r="H125" s="1006"/>
      <c r="I125" s="1006"/>
    </row>
    <row r="126" spans="1:9" s="1000" customFormat="1" ht="12">
      <c r="A126" s="1024"/>
      <c r="B126" s="1025"/>
      <c r="C126" s="1009"/>
      <c r="D126" s="1009"/>
      <c r="E126" s="1010"/>
      <c r="F126" s="463"/>
      <c r="G126" s="1006"/>
      <c r="H126" s="1006"/>
      <c r="I126" s="1006"/>
    </row>
    <row r="127" spans="1:9" ht="24">
      <c r="A127" s="83">
        <f>A125+0.01</f>
        <v>1.1500000000000001</v>
      </c>
      <c r="B127" s="1008" t="s">
        <v>117</v>
      </c>
      <c r="C127" s="1009" t="s">
        <v>11</v>
      </c>
      <c r="D127" s="1009">
        <v>15</v>
      </c>
      <c r="E127" s="480"/>
      <c r="F127" s="463">
        <f>E127*D127</f>
        <v>0</v>
      </c>
      <c r="G127" s="1006"/>
      <c r="H127" s="1006"/>
      <c r="I127" s="1006"/>
    </row>
    <row r="128" spans="1:9">
      <c r="B128" s="1014"/>
      <c r="C128" s="1015"/>
      <c r="D128" s="1009"/>
      <c r="E128" s="1010"/>
      <c r="F128" s="463"/>
    </row>
    <row r="129" spans="1:9" s="1000" customFormat="1">
      <c r="A129" s="1026"/>
      <c r="B129" s="1027" t="s">
        <v>100</v>
      </c>
      <c r="C129" s="1028"/>
      <c r="D129" s="1029"/>
      <c r="E129" s="1030" t="s">
        <v>118</v>
      </c>
      <c r="F129" s="1031">
        <f>SUM(F99:F128)</f>
        <v>0</v>
      </c>
      <c r="G129" s="1032">
        <f>SUM(G100:G128)</f>
        <v>0</v>
      </c>
      <c r="H129" s="969">
        <f>SUM(F129:G129)</f>
        <v>0</v>
      </c>
      <c r="I129" s="969"/>
    </row>
    <row r="130" spans="1:9">
      <c r="B130" s="970"/>
      <c r="C130" s="965"/>
      <c r="D130" s="966"/>
      <c r="E130" s="1033"/>
      <c r="F130" s="968"/>
    </row>
    <row r="131" spans="1:9" s="1000" customFormat="1">
      <c r="A131" s="917"/>
      <c r="B131" s="1034"/>
      <c r="C131" s="1035"/>
      <c r="D131" s="1003"/>
      <c r="E131" s="1036"/>
      <c r="F131" s="1037"/>
    </row>
    <row r="132" spans="1:9" s="1000" customFormat="1">
      <c r="A132" s="994">
        <v>2</v>
      </c>
      <c r="B132" s="945" t="s">
        <v>102</v>
      </c>
      <c r="C132" s="965"/>
      <c r="D132" s="966"/>
      <c r="E132" s="1033"/>
      <c r="F132" s="968"/>
    </row>
    <row r="133" spans="1:9" s="1000" customFormat="1" ht="12">
      <c r="A133" s="1038"/>
      <c r="B133" s="1035"/>
      <c r="C133" s="1039"/>
      <c r="D133" s="1040"/>
      <c r="E133" s="1036"/>
      <c r="F133" s="993"/>
    </row>
    <row r="134" spans="1:9" s="1000" customFormat="1" ht="36">
      <c r="A134" s="1012"/>
      <c r="B134" s="1014" t="s">
        <v>119</v>
      </c>
      <c r="C134" s="1015"/>
      <c r="D134" s="1009"/>
      <c r="E134" s="482"/>
      <c r="F134" s="463"/>
    </row>
    <row r="135" spans="1:9" s="1000" customFormat="1" ht="12">
      <c r="A135" s="1012">
        <v>2.0099999999999998</v>
      </c>
      <c r="B135" s="1014" t="s">
        <v>120</v>
      </c>
      <c r="C135" s="1015" t="s">
        <v>10</v>
      </c>
      <c r="D135" s="1009">
        <v>1</v>
      </c>
      <c r="E135" s="481"/>
      <c r="F135" s="463">
        <f>E135*0.5</f>
        <v>0</v>
      </c>
      <c r="G135" s="1041">
        <f>E135*0.5</f>
        <v>0</v>
      </c>
      <c r="H135" s="1041"/>
      <c r="I135" s="1041"/>
    </row>
    <row r="136" spans="1:9" s="1000" customFormat="1" ht="12">
      <c r="A136" s="1012">
        <v>2.02</v>
      </c>
      <c r="B136" s="1014" t="s">
        <v>121</v>
      </c>
      <c r="C136" s="1015" t="s">
        <v>10</v>
      </c>
      <c r="D136" s="1009">
        <v>1</v>
      </c>
      <c r="E136" s="481"/>
      <c r="F136" s="463">
        <f>D136*E136*0.5</f>
        <v>0</v>
      </c>
      <c r="G136" s="1041">
        <f>E136*0.5</f>
        <v>0</v>
      </c>
      <c r="H136" s="1041"/>
      <c r="I136" s="1041"/>
    </row>
    <row r="137" spans="1:9" s="1000" customFormat="1" ht="12">
      <c r="A137" s="1022"/>
      <c r="B137" s="1015"/>
      <c r="D137" s="993"/>
      <c r="E137" s="1010"/>
      <c r="F137" s="993"/>
    </row>
    <row r="138" spans="1:9" s="1000" customFormat="1" ht="24">
      <c r="A138" s="1025">
        <v>2.0299999999999998</v>
      </c>
      <c r="B138" s="1014" t="s">
        <v>122</v>
      </c>
      <c r="C138" s="1015" t="s">
        <v>10</v>
      </c>
      <c r="D138" s="1009">
        <v>5</v>
      </c>
      <c r="E138" s="481"/>
      <c r="F138" s="463"/>
      <c r="G138" s="1006">
        <f>D138*E138</f>
        <v>0</v>
      </c>
      <c r="H138" s="1006"/>
      <c r="I138" s="1006"/>
    </row>
    <row r="139" spans="1:9" s="1000" customFormat="1" ht="12">
      <c r="A139" s="1011"/>
      <c r="B139" s="1009"/>
      <c r="C139" s="993"/>
      <c r="D139" s="993"/>
      <c r="E139" s="1010"/>
      <c r="F139" s="993"/>
    </row>
    <row r="140" spans="1:9" s="1000" customFormat="1" ht="36">
      <c r="A140" s="1012">
        <v>2.04</v>
      </c>
      <c r="B140" s="1008" t="s">
        <v>123</v>
      </c>
      <c r="C140" s="1009" t="s">
        <v>10</v>
      </c>
      <c r="D140" s="1009">
        <v>1</v>
      </c>
      <c r="E140" s="481"/>
      <c r="F140" s="463"/>
      <c r="G140" s="1006">
        <f>D140*E140</f>
        <v>0</v>
      </c>
      <c r="H140" s="1006"/>
      <c r="I140" s="1006"/>
    </row>
    <row r="141" spans="1:9" s="1000" customFormat="1" ht="12">
      <c r="A141" s="1025"/>
      <c r="B141" s="1034"/>
      <c r="C141" s="1035"/>
      <c r="D141" s="1003"/>
      <c r="E141" s="1036"/>
      <c r="F141" s="1037"/>
    </row>
    <row r="142" spans="1:9" s="1000" customFormat="1" ht="24">
      <c r="A142" s="1025">
        <v>2.0499999999999998</v>
      </c>
      <c r="B142" s="1014" t="s">
        <v>124</v>
      </c>
      <c r="C142" s="1015" t="s">
        <v>70</v>
      </c>
      <c r="D142" s="1009">
        <v>3</v>
      </c>
      <c r="E142" s="480"/>
      <c r="F142" s="463">
        <f>D142*E142</f>
        <v>0</v>
      </c>
    </row>
    <row r="143" spans="1:9" s="1000" customFormat="1" ht="12">
      <c r="A143" s="1025"/>
      <c r="B143" s="1034"/>
      <c r="C143" s="1035"/>
      <c r="D143" s="1003"/>
      <c r="E143" s="1036"/>
      <c r="F143" s="1037"/>
    </row>
    <row r="144" spans="1:9" s="1000" customFormat="1" ht="24">
      <c r="A144" s="1025">
        <v>2.06</v>
      </c>
      <c r="B144" s="1014" t="s">
        <v>125</v>
      </c>
      <c r="C144" s="1015" t="s">
        <v>70</v>
      </c>
      <c r="D144" s="1009">
        <v>3</v>
      </c>
      <c r="E144" s="480"/>
      <c r="F144" s="463">
        <f>D144*E144</f>
        <v>0</v>
      </c>
    </row>
    <row r="145" spans="1:9" s="1000" customFormat="1" ht="12">
      <c r="A145" s="1025"/>
      <c r="B145" s="1014"/>
      <c r="C145" s="1015"/>
      <c r="D145" s="1009"/>
      <c r="E145" s="1010"/>
      <c r="F145" s="463"/>
    </row>
    <row r="146" spans="1:9" s="1000" customFormat="1" ht="12">
      <c r="A146" s="1025">
        <v>2.0699999999999998</v>
      </c>
      <c r="B146" s="1014" t="s">
        <v>126</v>
      </c>
      <c r="C146" s="1015" t="s">
        <v>10</v>
      </c>
      <c r="D146" s="1009">
        <v>1</v>
      </c>
      <c r="E146" s="480"/>
      <c r="F146" s="463">
        <f>D146*E146</f>
        <v>0</v>
      </c>
    </row>
    <row r="147" spans="1:9" s="1000" customFormat="1" ht="12">
      <c r="A147" s="1025"/>
      <c r="B147" s="1014"/>
      <c r="C147" s="1015"/>
      <c r="D147" s="1009"/>
      <c r="E147" s="1010"/>
      <c r="F147" s="463"/>
    </row>
    <row r="148" spans="1:9" s="1000" customFormat="1" ht="12">
      <c r="A148" s="1025">
        <v>2.08</v>
      </c>
      <c r="B148" s="1014" t="s">
        <v>127</v>
      </c>
      <c r="C148" s="1015" t="s">
        <v>10</v>
      </c>
      <c r="D148" s="1009">
        <v>1</v>
      </c>
      <c r="E148" s="480"/>
      <c r="F148" s="463"/>
      <c r="G148" s="1006">
        <f>D148*E148</f>
        <v>0</v>
      </c>
      <c r="H148" s="1006"/>
      <c r="I148" s="1006"/>
    </row>
    <row r="149" spans="1:9" s="1000" customFormat="1" ht="12">
      <c r="A149" s="1025"/>
      <c r="B149" s="1014"/>
      <c r="C149" s="1015"/>
      <c r="D149" s="1009"/>
      <c r="E149" s="1010"/>
      <c r="F149" s="463"/>
    </row>
    <row r="150" spans="1:9" s="1000" customFormat="1" ht="36">
      <c r="A150" s="1025">
        <v>2.09</v>
      </c>
      <c r="B150" s="1014" t="s">
        <v>128</v>
      </c>
      <c r="C150" s="1015" t="s">
        <v>10</v>
      </c>
      <c r="D150" s="1009">
        <v>1</v>
      </c>
      <c r="E150" s="480"/>
      <c r="F150" s="463"/>
      <c r="G150" s="1006">
        <f>D150*E150</f>
        <v>0</v>
      </c>
      <c r="H150" s="1006"/>
      <c r="I150" s="1006"/>
    </row>
    <row r="151" spans="1:9" s="1000" customFormat="1" ht="12">
      <c r="A151" s="1022"/>
      <c r="B151" s="1015"/>
      <c r="D151" s="993"/>
      <c r="E151" s="1010"/>
      <c r="F151" s="993"/>
    </row>
    <row r="152" spans="1:9" s="1000" customFormat="1" ht="12">
      <c r="A152" s="1012">
        <v>2.1</v>
      </c>
      <c r="B152" s="1014" t="s">
        <v>129</v>
      </c>
      <c r="C152" s="1015" t="s">
        <v>10</v>
      </c>
      <c r="D152" s="1009">
        <v>2</v>
      </c>
      <c r="E152" s="481"/>
      <c r="F152" s="463"/>
      <c r="G152" s="1006">
        <f>D152*E152</f>
        <v>0</v>
      </c>
      <c r="H152" s="1006"/>
      <c r="I152" s="1006"/>
    </row>
    <row r="153" spans="1:9" s="1000" customFormat="1" ht="12">
      <c r="A153" s="1022"/>
      <c r="B153" s="1015"/>
      <c r="D153" s="993"/>
      <c r="E153" s="1010"/>
      <c r="F153" s="993"/>
    </row>
    <row r="154" spans="1:9" s="1000" customFormat="1" ht="12">
      <c r="A154" s="1012">
        <v>2.11</v>
      </c>
      <c r="B154" s="1014" t="s">
        <v>130</v>
      </c>
      <c r="C154" s="1015" t="s">
        <v>10</v>
      </c>
      <c r="D154" s="1009">
        <v>2</v>
      </c>
      <c r="E154" s="481"/>
      <c r="F154" s="463"/>
      <c r="G154" s="1006">
        <f>D154*E154</f>
        <v>0</v>
      </c>
      <c r="H154" s="1006"/>
      <c r="I154" s="1006"/>
    </row>
    <row r="155" spans="1:9" s="1000" customFormat="1" ht="12">
      <c r="A155" s="1022"/>
      <c r="B155" s="1015"/>
      <c r="D155" s="993"/>
      <c r="E155" s="1010"/>
      <c r="F155" s="993"/>
    </row>
    <row r="156" spans="1:9" s="1000" customFormat="1" ht="24">
      <c r="A156" s="1012">
        <v>2.12</v>
      </c>
      <c r="B156" s="1014" t="s">
        <v>131</v>
      </c>
      <c r="C156" s="1015" t="s">
        <v>10</v>
      </c>
      <c r="D156" s="1009">
        <v>1</v>
      </c>
      <c r="E156" s="481"/>
      <c r="F156" s="463"/>
      <c r="G156" s="1006">
        <f>D156*E156</f>
        <v>0</v>
      </c>
      <c r="H156" s="1006"/>
      <c r="I156" s="1006"/>
    </row>
    <row r="157" spans="1:9" s="1000" customFormat="1" ht="12">
      <c r="A157" s="1025"/>
      <c r="B157" s="1014"/>
      <c r="C157" s="1015"/>
      <c r="D157" s="1009"/>
      <c r="E157" s="1010"/>
      <c r="F157" s="463"/>
    </row>
    <row r="158" spans="1:9" s="1000" customFormat="1" ht="24">
      <c r="A158" s="1012">
        <v>2.13</v>
      </c>
      <c r="B158" s="1014" t="s">
        <v>132</v>
      </c>
      <c r="C158" s="1015" t="s">
        <v>10</v>
      </c>
      <c r="D158" s="1009">
        <v>1</v>
      </c>
      <c r="E158" s="480"/>
      <c r="F158" s="463"/>
      <c r="G158" s="1006">
        <f>D158*E158</f>
        <v>0</v>
      </c>
      <c r="H158" s="1006"/>
      <c r="I158" s="1006"/>
    </row>
    <row r="159" spans="1:9" s="1000" customFormat="1" ht="12">
      <c r="A159" s="1025"/>
      <c r="B159" s="1014"/>
      <c r="C159" s="1015"/>
      <c r="D159" s="1009"/>
      <c r="E159" s="1010"/>
      <c r="F159" s="463"/>
    </row>
    <row r="160" spans="1:9" s="1000" customFormat="1" ht="24">
      <c r="A160" s="1025">
        <v>2.14</v>
      </c>
      <c r="B160" s="1014" t="s">
        <v>133</v>
      </c>
      <c r="C160" s="1015" t="s">
        <v>10</v>
      </c>
      <c r="D160" s="1009">
        <v>1</v>
      </c>
      <c r="E160" s="480"/>
      <c r="F160" s="463">
        <f>D160*E160</f>
        <v>0</v>
      </c>
    </row>
    <row r="161" spans="1:9" s="1000" customFormat="1" ht="12">
      <c r="A161" s="1025"/>
      <c r="B161" s="1014"/>
      <c r="C161" s="1015"/>
      <c r="D161" s="1009"/>
      <c r="E161" s="1010"/>
      <c r="F161" s="463"/>
    </row>
    <row r="162" spans="1:9" s="1000" customFormat="1" ht="36">
      <c r="A162" s="1012">
        <v>2.15</v>
      </c>
      <c r="B162" s="1042" t="s">
        <v>134</v>
      </c>
      <c r="C162" s="1043" t="s">
        <v>10</v>
      </c>
      <c r="D162" s="1044">
        <v>2</v>
      </c>
      <c r="E162" s="480"/>
      <c r="F162" s="463"/>
      <c r="G162" s="1006">
        <f>D162*E162</f>
        <v>0</v>
      </c>
      <c r="H162" s="1006"/>
      <c r="I162" s="1006"/>
    </row>
    <row r="163" spans="1:9" s="1000" customFormat="1" ht="12">
      <c r="A163" s="1025"/>
      <c r="B163" s="1014"/>
      <c r="C163" s="1015"/>
      <c r="D163" s="1009"/>
      <c r="E163" s="1010"/>
      <c r="F163" s="463"/>
    </row>
    <row r="164" spans="1:9" s="1000" customFormat="1" ht="12">
      <c r="A164" s="1025">
        <v>2.16</v>
      </c>
      <c r="B164" s="1014" t="s">
        <v>135</v>
      </c>
      <c r="C164" s="1015" t="s">
        <v>10</v>
      </c>
      <c r="D164" s="1009">
        <v>1</v>
      </c>
      <c r="E164" s="480"/>
      <c r="F164" s="463">
        <f>D164*E164</f>
        <v>0</v>
      </c>
    </row>
    <row r="165" spans="1:9" s="1000" customFormat="1" ht="12">
      <c r="A165" s="1025"/>
      <c r="B165" s="1014"/>
      <c r="C165" s="1015"/>
      <c r="D165" s="1009"/>
      <c r="E165" s="1010"/>
      <c r="F165" s="463"/>
    </row>
    <row r="166" spans="1:9" s="1000" customFormat="1" ht="24">
      <c r="A166" s="1025">
        <v>2.17</v>
      </c>
      <c r="B166" s="1014" t="s">
        <v>136</v>
      </c>
      <c r="C166" s="1015" t="s">
        <v>10</v>
      </c>
      <c r="D166" s="1009">
        <v>1</v>
      </c>
      <c r="E166" s="480"/>
      <c r="F166" s="463">
        <f>D166*E166</f>
        <v>0</v>
      </c>
    </row>
    <row r="167" spans="1:9" s="1000" customFormat="1" ht="12">
      <c r="A167" s="1025"/>
      <c r="B167" s="1014"/>
      <c r="C167" s="1015"/>
      <c r="D167" s="1009"/>
      <c r="E167" s="1010"/>
      <c r="F167" s="463"/>
    </row>
    <row r="168" spans="1:9">
      <c r="A168" s="1025">
        <v>2.1800000000000002</v>
      </c>
      <c r="B168" s="1014" t="s">
        <v>137</v>
      </c>
      <c r="C168" s="1015" t="s">
        <v>70</v>
      </c>
      <c r="D168" s="1009">
        <v>3</v>
      </c>
      <c r="E168" s="480"/>
      <c r="F168" s="463">
        <f>D168*E168</f>
        <v>0</v>
      </c>
    </row>
    <row r="169" spans="1:9">
      <c r="B169" s="1014"/>
      <c r="C169" s="1015"/>
      <c r="D169" s="1009"/>
      <c r="E169" s="1010"/>
      <c r="F169" s="463"/>
    </row>
    <row r="170" spans="1:9">
      <c r="A170" s="1026"/>
      <c r="B170" s="1027" t="s">
        <v>102</v>
      </c>
      <c r="C170" s="1028"/>
      <c r="D170" s="1029"/>
      <c r="E170" s="1030" t="s">
        <v>118</v>
      </c>
      <c r="F170" s="1031">
        <f>SUM(F133:F169)</f>
        <v>0</v>
      </c>
      <c r="G170" s="1032">
        <f>SUM(G134:G169)</f>
        <v>0</v>
      </c>
      <c r="H170" s="969">
        <f>SUM(F170:G170)</f>
        <v>0</v>
      </c>
      <c r="I170" s="969"/>
    </row>
    <row r="171" spans="1:9">
      <c r="B171" s="970"/>
      <c r="C171" s="965"/>
      <c r="D171" s="966"/>
      <c r="E171" s="1033"/>
      <c r="F171" s="968"/>
    </row>
    <row r="172" spans="1:9">
      <c r="B172" s="970"/>
      <c r="C172" s="965"/>
      <c r="D172" s="966"/>
      <c r="E172" s="1033"/>
      <c r="F172" s="968"/>
    </row>
    <row r="173" spans="1:9">
      <c r="A173" s="994">
        <v>3</v>
      </c>
      <c r="B173" s="945" t="s">
        <v>103</v>
      </c>
      <c r="C173" s="965"/>
      <c r="D173" s="966"/>
      <c r="E173" s="1033"/>
      <c r="F173" s="968"/>
    </row>
    <row r="174" spans="1:9" s="1000" customFormat="1">
      <c r="A174" s="994"/>
      <c r="B174" s="945"/>
      <c r="C174" s="965"/>
      <c r="D174" s="966"/>
      <c r="E174" s="1033"/>
      <c r="F174" s="968"/>
    </row>
    <row r="175" spans="1:9" s="1000" customFormat="1">
      <c r="A175" s="994"/>
      <c r="B175" s="945" t="s">
        <v>138</v>
      </c>
      <c r="C175" s="965"/>
      <c r="D175" s="966"/>
      <c r="E175" s="1033"/>
      <c r="F175" s="968"/>
    </row>
    <row r="176" spans="1:9" s="1000" customFormat="1" ht="12">
      <c r="A176" s="1025"/>
      <c r="B176" s="1034"/>
      <c r="C176" s="1035"/>
      <c r="D176" s="1003"/>
      <c r="E176" s="1036"/>
      <c r="F176" s="1037"/>
    </row>
    <row r="177" spans="1:9" s="1000" customFormat="1" ht="12">
      <c r="A177" s="1025">
        <v>3.01</v>
      </c>
      <c r="B177" s="1014" t="s">
        <v>139</v>
      </c>
      <c r="C177" s="1015" t="s">
        <v>70</v>
      </c>
      <c r="D177" s="1009">
        <v>3</v>
      </c>
      <c r="E177" s="480"/>
      <c r="F177" s="463">
        <f>D177*E177</f>
        <v>0</v>
      </c>
    </row>
    <row r="178" spans="1:9" s="993" customFormat="1" ht="12">
      <c r="A178" s="1025"/>
      <c r="B178" s="1034"/>
      <c r="C178" s="1035"/>
      <c r="D178" s="1003"/>
      <c r="E178" s="1036"/>
      <c r="F178" s="1037"/>
    </row>
    <row r="179" spans="1:9" s="1000" customFormat="1" ht="12">
      <c r="A179" s="1025">
        <v>3.02</v>
      </c>
      <c r="B179" s="1014" t="s">
        <v>140</v>
      </c>
      <c r="C179" s="1015" t="s">
        <v>70</v>
      </c>
      <c r="D179" s="1009">
        <v>3</v>
      </c>
      <c r="E179" s="480"/>
      <c r="F179" s="463">
        <f>D179*E179</f>
        <v>0</v>
      </c>
    </row>
    <row r="180" spans="1:9" s="1000" customFormat="1" ht="12">
      <c r="A180" s="1011"/>
      <c r="B180" s="1009"/>
      <c r="C180" s="993"/>
      <c r="D180" s="993"/>
      <c r="E180" s="1010"/>
      <c r="F180" s="993"/>
    </row>
    <row r="181" spans="1:9" s="1000" customFormat="1" ht="12">
      <c r="A181" s="1012"/>
      <c r="B181" s="1034" t="s">
        <v>141</v>
      </c>
      <c r="C181" s="1015"/>
      <c r="D181" s="1009"/>
      <c r="E181" s="1010"/>
      <c r="F181" s="463"/>
    </row>
    <row r="182" spans="1:9" s="1040" customFormat="1" ht="12">
      <c r="A182" s="1012"/>
      <c r="B182" s="1014"/>
      <c r="C182" s="1015"/>
      <c r="D182" s="1009"/>
      <c r="E182" s="1010"/>
      <c r="F182" s="463"/>
    </row>
    <row r="183" spans="1:9" s="1000" customFormat="1" ht="12">
      <c r="A183" s="1012">
        <v>3.03</v>
      </c>
      <c r="B183" s="1014" t="s">
        <v>142</v>
      </c>
      <c r="C183" s="1015" t="s">
        <v>10</v>
      </c>
      <c r="D183" s="1009">
        <v>1</v>
      </c>
      <c r="E183" s="480"/>
      <c r="F183" s="463"/>
      <c r="G183" s="1006">
        <f>D183*E183</f>
        <v>0</v>
      </c>
      <c r="H183" s="1006"/>
      <c r="I183" s="1006"/>
    </row>
    <row r="184" spans="1:9" s="1000" customFormat="1" ht="12">
      <c r="A184" s="1011"/>
      <c r="B184" s="1009"/>
      <c r="C184" s="993"/>
      <c r="D184" s="993"/>
      <c r="E184" s="1010"/>
      <c r="F184" s="1040"/>
    </row>
    <row r="185" spans="1:9" s="1000" customFormat="1" ht="12">
      <c r="A185" s="1012">
        <v>3.04</v>
      </c>
      <c r="B185" s="1014" t="s">
        <v>143</v>
      </c>
      <c r="C185" s="1015" t="s">
        <v>10</v>
      </c>
      <c r="D185" s="1009">
        <v>1</v>
      </c>
      <c r="E185" s="480"/>
      <c r="F185" s="463"/>
      <c r="G185" s="1006">
        <f>D185*E185</f>
        <v>0</v>
      </c>
      <c r="H185" s="1006"/>
      <c r="I185" s="1006"/>
    </row>
    <row r="186" spans="1:9" s="1000" customFormat="1" ht="12">
      <c r="A186" s="1022"/>
      <c r="B186" s="1015"/>
      <c r="D186" s="993"/>
      <c r="E186" s="1010"/>
      <c r="F186" s="993"/>
    </row>
    <row r="187" spans="1:9" s="1000" customFormat="1" ht="12">
      <c r="A187" s="1012">
        <v>3.05</v>
      </c>
      <c r="B187" s="1014" t="s">
        <v>144</v>
      </c>
      <c r="C187" s="1015" t="s">
        <v>10</v>
      </c>
      <c r="D187" s="1009">
        <v>1</v>
      </c>
      <c r="E187" s="480"/>
      <c r="F187" s="463"/>
      <c r="G187" s="1006">
        <f>D187*E187</f>
        <v>0</v>
      </c>
      <c r="H187" s="1006"/>
      <c r="I187" s="1006"/>
    </row>
    <row r="188" spans="1:9" s="993" customFormat="1" ht="12">
      <c r="A188" s="1022"/>
      <c r="B188" s="1015"/>
      <c r="C188" s="1000"/>
      <c r="E188" s="1010"/>
    </row>
    <row r="189" spans="1:9" s="1000" customFormat="1" ht="12">
      <c r="A189" s="1012">
        <v>3.06</v>
      </c>
      <c r="B189" s="1014" t="s">
        <v>145</v>
      </c>
      <c r="C189" s="1015" t="s">
        <v>10</v>
      </c>
      <c r="D189" s="1009">
        <v>1</v>
      </c>
      <c r="E189" s="480"/>
      <c r="F189" s="463"/>
      <c r="G189" s="1006">
        <f>D189*E189</f>
        <v>0</v>
      </c>
      <c r="H189" s="1006"/>
      <c r="I189" s="1006"/>
    </row>
    <row r="190" spans="1:9" s="1000" customFormat="1" ht="12">
      <c r="A190" s="1011"/>
      <c r="B190" s="1009"/>
      <c r="C190" s="993"/>
      <c r="D190" s="993"/>
      <c r="E190" s="1010"/>
      <c r="F190" s="993"/>
    </row>
    <row r="191" spans="1:9" s="1000" customFormat="1" ht="12">
      <c r="A191" s="1012"/>
      <c r="B191" s="1034" t="s">
        <v>146</v>
      </c>
      <c r="C191" s="1015"/>
      <c r="D191" s="1009"/>
      <c r="E191" s="1010"/>
      <c r="F191" s="463"/>
    </row>
    <row r="192" spans="1:9" s="1000" customFormat="1" ht="12">
      <c r="A192" s="1012"/>
      <c r="B192" s="1014"/>
      <c r="C192" s="1015"/>
      <c r="D192" s="1009"/>
      <c r="E192" s="1010"/>
      <c r="F192" s="463"/>
    </row>
    <row r="193" spans="1:9" s="1000" customFormat="1" ht="12">
      <c r="A193" s="1012">
        <v>3.07</v>
      </c>
      <c r="B193" s="1014" t="s">
        <v>147</v>
      </c>
      <c r="C193" s="1015" t="s">
        <v>10</v>
      </c>
      <c r="D193" s="1009">
        <v>1</v>
      </c>
      <c r="E193" s="480"/>
      <c r="F193" s="463"/>
      <c r="G193" s="1006">
        <f>D193*E193</f>
        <v>0</v>
      </c>
      <c r="H193" s="1006"/>
      <c r="I193" s="1006"/>
    </row>
    <row r="194" spans="1:9" s="1000" customFormat="1" ht="12">
      <c r="A194" s="1022"/>
      <c r="B194" s="1015"/>
      <c r="D194" s="993"/>
      <c r="E194" s="1010"/>
      <c r="F194" s="993"/>
    </row>
    <row r="195" spans="1:9" s="1000" customFormat="1" ht="12">
      <c r="A195" s="1012"/>
      <c r="B195" s="1034" t="s">
        <v>148</v>
      </c>
      <c r="D195" s="993"/>
      <c r="E195" s="1010"/>
      <c r="F195" s="993"/>
    </row>
    <row r="196" spans="1:9" s="1000" customFormat="1" ht="12">
      <c r="A196" s="1022"/>
      <c r="B196" s="1015"/>
      <c r="D196" s="993"/>
      <c r="E196" s="1010"/>
      <c r="F196" s="993"/>
    </row>
    <row r="197" spans="1:9" s="1000" customFormat="1" ht="24">
      <c r="A197" s="1012">
        <v>3.08</v>
      </c>
      <c r="B197" s="1014" t="s">
        <v>149</v>
      </c>
      <c r="C197" s="1015" t="s">
        <v>10</v>
      </c>
      <c r="D197" s="1009">
        <v>1</v>
      </c>
      <c r="E197" s="480"/>
      <c r="F197" s="463"/>
      <c r="G197" s="1006">
        <f>D197*E197</f>
        <v>0</v>
      </c>
      <c r="H197" s="1006"/>
      <c r="I197" s="1006"/>
    </row>
    <row r="198" spans="1:9" s="1000" customFormat="1" ht="12">
      <c r="A198" s="1022"/>
      <c r="B198" s="1015"/>
      <c r="D198" s="993"/>
      <c r="E198" s="1010"/>
      <c r="F198" s="993"/>
    </row>
    <row r="199" spans="1:9" s="1000" customFormat="1" ht="24">
      <c r="A199" s="1012">
        <v>3.09</v>
      </c>
      <c r="B199" s="1014" t="s">
        <v>150</v>
      </c>
      <c r="C199" s="1015" t="s">
        <v>10</v>
      </c>
      <c r="D199" s="1009">
        <v>1</v>
      </c>
      <c r="E199" s="480"/>
      <c r="F199" s="463"/>
      <c r="G199" s="1006">
        <f>D199*E199</f>
        <v>0</v>
      </c>
      <c r="H199" s="1006"/>
      <c r="I199" s="1006"/>
    </row>
    <row r="200" spans="1:9" s="1000" customFormat="1" ht="12">
      <c r="A200" s="1025"/>
      <c r="B200" s="1034"/>
      <c r="C200" s="1035"/>
      <c r="D200" s="1003"/>
      <c r="E200" s="1036"/>
      <c r="F200" s="1037"/>
    </row>
    <row r="201" spans="1:9" s="1000" customFormat="1" ht="48">
      <c r="A201" s="1025">
        <v>3.1</v>
      </c>
      <c r="B201" s="1014" t="s">
        <v>151</v>
      </c>
      <c r="C201" s="1015" t="s">
        <v>10</v>
      </c>
      <c r="D201" s="1009">
        <v>1</v>
      </c>
      <c r="E201" s="480"/>
      <c r="F201" s="463"/>
      <c r="G201" s="1006">
        <f>D201*E201</f>
        <v>0</v>
      </c>
      <c r="H201" s="1006"/>
      <c r="I201" s="1006"/>
    </row>
    <row r="202" spans="1:9" s="1000" customFormat="1" ht="12">
      <c r="A202" s="1025"/>
      <c r="C202" s="1015"/>
      <c r="D202" s="1009"/>
      <c r="E202" s="1010"/>
      <c r="F202" s="463"/>
    </row>
    <row r="203" spans="1:9" s="993" customFormat="1" ht="93" customHeight="1">
      <c r="A203" s="1025">
        <v>3.11</v>
      </c>
      <c r="B203" s="1014" t="s">
        <v>152</v>
      </c>
      <c r="C203" s="1015" t="s">
        <v>10</v>
      </c>
      <c r="D203" s="1009">
        <v>1</v>
      </c>
      <c r="E203" s="480"/>
      <c r="F203" s="463">
        <f>D203*E203</f>
        <v>0</v>
      </c>
    </row>
    <row r="204" spans="1:9" s="993" customFormat="1" ht="12">
      <c r="A204" s="1025"/>
      <c r="B204" s="1000"/>
      <c r="C204" s="1015"/>
      <c r="D204" s="1009"/>
      <c r="E204" s="1010"/>
      <c r="F204" s="463"/>
    </row>
    <row r="205" spans="1:9" s="993" customFormat="1" ht="12">
      <c r="A205" s="1007"/>
      <c r="B205" s="1045" t="s">
        <v>153</v>
      </c>
      <c r="C205" s="1009"/>
      <c r="D205" s="1009"/>
      <c r="E205" s="1010"/>
      <c r="F205" s="463"/>
    </row>
    <row r="206" spans="1:9" s="993" customFormat="1" ht="12">
      <c r="A206" s="1025">
        <v>3.12</v>
      </c>
      <c r="B206" s="1008" t="s">
        <v>154</v>
      </c>
      <c r="C206" s="1009" t="s">
        <v>10</v>
      </c>
      <c r="D206" s="1009">
        <v>2</v>
      </c>
      <c r="E206" s="480"/>
      <c r="F206" s="463">
        <f t="shared" ref="F206:F211" si="0">D206*E206</f>
        <v>0</v>
      </c>
    </row>
    <row r="207" spans="1:9" s="993" customFormat="1" ht="12">
      <c r="A207" s="1007">
        <v>3.13</v>
      </c>
      <c r="B207" s="1008" t="s">
        <v>155</v>
      </c>
      <c r="C207" s="1009" t="s">
        <v>10</v>
      </c>
      <c r="D207" s="1009">
        <v>2</v>
      </c>
      <c r="E207" s="480"/>
      <c r="F207" s="463">
        <f t="shared" si="0"/>
        <v>0</v>
      </c>
    </row>
    <row r="208" spans="1:9" s="993" customFormat="1" ht="12">
      <c r="A208" s="1025">
        <v>3.14</v>
      </c>
      <c r="B208" s="1008" t="s">
        <v>156</v>
      </c>
      <c r="C208" s="1009" t="s">
        <v>10</v>
      </c>
      <c r="D208" s="1009">
        <v>1</v>
      </c>
      <c r="E208" s="480"/>
      <c r="F208" s="463">
        <f>D208*E208</f>
        <v>0</v>
      </c>
    </row>
    <row r="209" spans="1:9" s="1000" customFormat="1" ht="12">
      <c r="A209" s="1025">
        <v>3.15</v>
      </c>
      <c r="B209" s="1008" t="s">
        <v>157</v>
      </c>
      <c r="C209" s="1009" t="s">
        <v>10</v>
      </c>
      <c r="D209" s="1009">
        <v>1</v>
      </c>
      <c r="E209" s="480"/>
      <c r="F209" s="463">
        <f>D209*E209</f>
        <v>0</v>
      </c>
    </row>
    <row r="210" spans="1:9" s="972" customFormat="1" ht="36">
      <c r="A210" s="1025">
        <v>3.16</v>
      </c>
      <c r="B210" s="1008" t="s">
        <v>158</v>
      </c>
      <c r="C210" s="1009" t="s">
        <v>10</v>
      </c>
      <c r="D210" s="1009">
        <v>1</v>
      </c>
      <c r="E210" s="480"/>
      <c r="F210" s="463">
        <f t="shared" si="0"/>
        <v>0</v>
      </c>
    </row>
    <row r="211" spans="1:9" s="1000" customFormat="1" ht="12">
      <c r="A211" s="1025">
        <v>3.17</v>
      </c>
      <c r="B211" s="1014" t="s">
        <v>159</v>
      </c>
      <c r="C211" s="1015" t="s">
        <v>10</v>
      </c>
      <c r="D211" s="1009">
        <v>1</v>
      </c>
      <c r="E211" s="480"/>
      <c r="F211" s="463">
        <f t="shared" si="0"/>
        <v>0</v>
      </c>
    </row>
    <row r="212" spans="1:9" s="1000" customFormat="1">
      <c r="A212" s="1046"/>
      <c r="B212" s="972"/>
      <c r="C212" s="966"/>
      <c r="D212" s="966"/>
      <c r="E212" s="1033"/>
      <c r="F212" s="968"/>
    </row>
    <row r="213" spans="1:9" s="1000" customFormat="1" ht="12">
      <c r="A213" s="1012"/>
      <c r="B213" s="1034" t="s">
        <v>160</v>
      </c>
      <c r="C213" s="1015"/>
      <c r="D213" s="1009"/>
      <c r="E213" s="1010"/>
      <c r="F213" s="463"/>
    </row>
    <row r="214" spans="1:9" s="1000" customFormat="1" ht="12">
      <c r="A214" s="1012">
        <v>3.18</v>
      </c>
      <c r="B214" s="1014" t="s">
        <v>161</v>
      </c>
      <c r="C214" s="1015" t="s">
        <v>10</v>
      </c>
      <c r="D214" s="1009">
        <v>4</v>
      </c>
      <c r="E214" s="480"/>
      <c r="F214" s="463"/>
      <c r="G214" s="1006">
        <f>D214*E214</f>
        <v>0</v>
      </c>
      <c r="H214" s="1006"/>
      <c r="I214" s="1006"/>
    </row>
    <row r="215" spans="1:9" s="1000" customFormat="1" ht="12">
      <c r="A215" s="1012">
        <v>3.19</v>
      </c>
      <c r="B215" s="1014" t="s">
        <v>162</v>
      </c>
      <c r="C215" s="1015" t="s">
        <v>10</v>
      </c>
      <c r="D215" s="1009">
        <v>1</v>
      </c>
      <c r="E215" s="480"/>
      <c r="F215" s="463"/>
      <c r="G215" s="1006">
        <f>D215*E215</f>
        <v>0</v>
      </c>
      <c r="H215" s="1006"/>
      <c r="I215" s="1006"/>
    </row>
    <row r="216" spans="1:9" s="1000" customFormat="1" ht="12">
      <c r="A216" s="1022"/>
      <c r="B216" s="1015"/>
      <c r="D216" s="993"/>
      <c r="E216" s="1010"/>
      <c r="F216" s="993"/>
    </row>
    <row r="217" spans="1:9" s="993" customFormat="1" ht="12">
      <c r="A217" s="1012"/>
      <c r="B217" s="1034" t="s">
        <v>163</v>
      </c>
      <c r="C217" s="1015"/>
      <c r="D217" s="1009"/>
      <c r="E217" s="1010"/>
      <c r="F217" s="463"/>
    </row>
    <row r="218" spans="1:9" s="1000" customFormat="1" ht="12">
      <c r="A218" s="1012">
        <v>3.2</v>
      </c>
      <c r="B218" s="1014" t="s">
        <v>164</v>
      </c>
      <c r="C218" s="1015" t="s">
        <v>10</v>
      </c>
      <c r="D218" s="1009">
        <v>32</v>
      </c>
      <c r="E218" s="480"/>
      <c r="F218" s="463"/>
      <c r="G218" s="1006">
        <f>D218*E218</f>
        <v>0</v>
      </c>
      <c r="H218" s="1006"/>
      <c r="I218" s="1006"/>
    </row>
    <row r="219" spans="1:9" s="1000" customFormat="1" ht="12">
      <c r="A219" s="83">
        <v>3.21</v>
      </c>
      <c r="B219" s="993" t="s">
        <v>165</v>
      </c>
      <c r="C219" s="1009" t="s">
        <v>10</v>
      </c>
      <c r="D219" s="1009">
        <v>8</v>
      </c>
      <c r="E219" s="480"/>
      <c r="F219" s="463"/>
      <c r="G219" s="1006">
        <f>D219*E219</f>
        <v>0</v>
      </c>
      <c r="H219" s="1006"/>
      <c r="I219" s="1006"/>
    </row>
    <row r="220" spans="1:9" s="1000" customFormat="1" ht="12">
      <c r="A220" s="1025"/>
      <c r="B220" s="1014"/>
      <c r="C220" s="1015"/>
      <c r="D220" s="1009"/>
      <c r="E220" s="1010"/>
      <c r="F220" s="463"/>
    </row>
    <row r="221" spans="1:9" s="1000" customFormat="1" ht="12">
      <c r="A221" s="1025">
        <v>3.22</v>
      </c>
      <c r="B221" s="1014" t="s">
        <v>166</v>
      </c>
      <c r="C221" s="1015" t="s">
        <v>10</v>
      </c>
      <c r="D221" s="1009">
        <v>1</v>
      </c>
      <c r="E221" s="871"/>
      <c r="F221" s="463">
        <f>SUM(F173:F220)*0.1</f>
        <v>0</v>
      </c>
      <c r="G221" s="1041">
        <f>SUM(G173:G220)*0.1</f>
        <v>0</v>
      </c>
      <c r="H221" s="1041"/>
      <c r="I221" s="1041"/>
    </row>
    <row r="222" spans="1:9" s="1000" customFormat="1" ht="12">
      <c r="A222" s="1025"/>
      <c r="B222" s="1014"/>
      <c r="C222" s="1015"/>
      <c r="D222" s="1009"/>
      <c r="E222" s="1010"/>
      <c r="F222" s="1047"/>
    </row>
    <row r="223" spans="1:9" s="1000" customFormat="1" ht="12">
      <c r="A223" s="1025">
        <v>3.23</v>
      </c>
      <c r="B223" s="1014" t="s">
        <v>167</v>
      </c>
      <c r="C223" s="1015" t="s">
        <v>10</v>
      </c>
      <c r="D223" s="1009">
        <v>1</v>
      </c>
      <c r="E223" s="871"/>
      <c r="F223" s="463">
        <f>SUM(F173:F220)*0.1</f>
        <v>0</v>
      </c>
      <c r="G223" s="1041">
        <f>SUM(G173:G220)*0.1</f>
        <v>0</v>
      </c>
      <c r="H223" s="1041"/>
      <c r="I223" s="1041"/>
    </row>
    <row r="224" spans="1:9">
      <c r="B224" s="1014"/>
      <c r="C224" s="1015"/>
      <c r="D224" s="1009"/>
      <c r="E224" s="1010"/>
      <c r="F224" s="463"/>
    </row>
    <row r="225" spans="1:9">
      <c r="A225" s="1026"/>
      <c r="B225" s="1027" t="s">
        <v>168</v>
      </c>
      <c r="C225" s="1028"/>
      <c r="D225" s="1029"/>
      <c r="E225" s="1030" t="s">
        <v>118</v>
      </c>
      <c r="F225" s="1031">
        <f>SUM(F173:F223)</f>
        <v>0</v>
      </c>
      <c r="G225" s="1048">
        <f>SUM(G173:G224)</f>
        <v>0</v>
      </c>
      <c r="H225" s="978">
        <f>SUM(F225:G225)</f>
        <v>0</v>
      </c>
      <c r="I225" s="978"/>
    </row>
    <row r="227" spans="1:9">
      <c r="A227" s="1049"/>
    </row>
    <row r="228" spans="1:9">
      <c r="A228" s="1049"/>
    </row>
    <row r="229" spans="1:9" s="963" customFormat="1">
      <c r="A229" s="1049"/>
      <c r="B229" s="923"/>
      <c r="C229" s="924"/>
      <c r="D229" s="925"/>
      <c r="E229" s="926"/>
      <c r="F229" s="927"/>
    </row>
    <row r="230" spans="1:9">
      <c r="A230" s="1050"/>
    </row>
    <row r="231" spans="1:9">
      <c r="A231" s="1051"/>
    </row>
    <row r="232" spans="1:9" ht="15.75">
      <c r="A232" s="1049"/>
      <c r="B232" s="935" t="s">
        <v>86</v>
      </c>
      <c r="C232" s="936"/>
      <c r="D232" s="937"/>
      <c r="E232" s="1052"/>
      <c r="F232" s="1053"/>
    </row>
    <row r="233" spans="1:9">
      <c r="A233" s="1049"/>
      <c r="B233" s="941"/>
      <c r="E233" s="1054"/>
      <c r="F233" s="943"/>
    </row>
    <row r="234" spans="1:9">
      <c r="A234" s="1055"/>
    </row>
    <row r="235" spans="1:9">
      <c r="A235" s="1055"/>
    </row>
    <row r="236" spans="1:9">
      <c r="A236" s="945" t="s">
        <v>87</v>
      </c>
      <c r="B236" s="946" t="s">
        <v>88</v>
      </c>
    </row>
    <row r="237" spans="1:9">
      <c r="A237" s="947"/>
      <c r="B237" s="919"/>
    </row>
    <row r="238" spans="1:9">
      <c r="A238" s="945" t="s">
        <v>89</v>
      </c>
      <c r="B238" s="946" t="s">
        <v>90</v>
      </c>
    </row>
    <row r="239" spans="1:9">
      <c r="A239" s="945"/>
      <c r="B239" s="946"/>
    </row>
    <row r="240" spans="1:9">
      <c r="A240" s="945" t="s">
        <v>91</v>
      </c>
      <c r="B240" s="946" t="s">
        <v>169</v>
      </c>
    </row>
    <row r="241" spans="1:9">
      <c r="A241" s="947"/>
    </row>
    <row r="242" spans="1:9" ht="38.25">
      <c r="A242" s="945" t="s">
        <v>93</v>
      </c>
      <c r="B242" s="1056" t="s">
        <v>39</v>
      </c>
      <c r="C242" s="919"/>
      <c r="D242" s="972"/>
    </row>
    <row r="243" spans="1:9">
      <c r="A243" s="945"/>
      <c r="B243" s="1056"/>
      <c r="C243" s="919"/>
      <c r="D243" s="972"/>
    </row>
    <row r="244" spans="1:9">
      <c r="A244" s="947"/>
      <c r="B244" s="1057"/>
      <c r="C244" s="1057"/>
      <c r="D244" s="1058"/>
    </row>
    <row r="245" spans="1:9">
      <c r="A245" s="945" t="s">
        <v>94</v>
      </c>
      <c r="B245" s="1059">
        <v>8697</v>
      </c>
      <c r="C245" s="1057"/>
      <c r="D245" s="1058"/>
    </row>
    <row r="246" spans="1:9">
      <c r="A246" s="945"/>
      <c r="B246" s="1057"/>
      <c r="C246" s="1057"/>
      <c r="D246" s="1058"/>
    </row>
    <row r="247" spans="1:9">
      <c r="A247" s="945" t="s">
        <v>95</v>
      </c>
      <c r="B247" s="919" t="s">
        <v>96</v>
      </c>
      <c r="C247" s="919"/>
      <c r="D247" s="972"/>
    </row>
    <row r="248" spans="1:9">
      <c r="A248" s="947"/>
      <c r="B248" s="1057"/>
      <c r="C248" s="1057"/>
      <c r="D248" s="1058"/>
    </row>
    <row r="249" spans="1:9">
      <c r="A249" s="947"/>
      <c r="B249" s="1057"/>
      <c r="C249" s="1057"/>
      <c r="D249" s="1058"/>
    </row>
    <row r="250" spans="1:9">
      <c r="A250" s="945" t="s">
        <v>97</v>
      </c>
      <c r="B250" s="1060" t="s">
        <v>27</v>
      </c>
    </row>
    <row r="251" spans="1:9">
      <c r="A251" s="947"/>
    </row>
    <row r="252" spans="1:9">
      <c r="A252" s="945" t="s">
        <v>98</v>
      </c>
      <c r="B252" s="949" t="s">
        <v>1411</v>
      </c>
    </row>
    <row r="255" spans="1:9" ht="13.5" thickBot="1">
      <c r="A255" s="1061" t="s">
        <v>99</v>
      </c>
      <c r="B255" s="1062"/>
      <c r="C255" s="1063"/>
      <c r="D255" s="1064"/>
      <c r="E255" s="1065"/>
      <c r="F255" s="1066"/>
      <c r="G255" s="920"/>
      <c r="H255" s="922"/>
      <c r="I255" s="922"/>
    </row>
    <row r="256" spans="1:9" s="963" customFormat="1">
      <c r="A256" s="1049"/>
      <c r="B256" s="923"/>
      <c r="C256" s="924"/>
      <c r="D256" s="925"/>
      <c r="E256" s="926"/>
      <c r="F256" s="927"/>
      <c r="H256" s="1067"/>
    </row>
    <row r="257" spans="1:9">
      <c r="A257" s="1049"/>
    </row>
    <row r="258" spans="1:9">
      <c r="A258" s="1049"/>
    </row>
    <row r="259" spans="1:9" s="963" customFormat="1">
      <c r="A259" s="1068">
        <v>1</v>
      </c>
      <c r="B259" s="945" t="s">
        <v>170</v>
      </c>
      <c r="C259" s="965"/>
      <c r="D259" s="966"/>
      <c r="E259" s="967" t="s">
        <v>101</v>
      </c>
      <c r="F259" s="968">
        <f>F284</f>
        <v>0</v>
      </c>
      <c r="H259" s="978">
        <f>H284</f>
        <v>0</v>
      </c>
    </row>
    <row r="260" spans="1:9">
      <c r="A260" s="1068"/>
      <c r="B260" s="945"/>
      <c r="C260" s="965"/>
      <c r="D260" s="966"/>
      <c r="E260" s="967"/>
      <c r="F260" s="968"/>
    </row>
    <row r="261" spans="1:9" s="963" customFormat="1">
      <c r="A261" s="1069"/>
      <c r="B261" s="947"/>
      <c r="C261" s="924"/>
      <c r="D261" s="925"/>
      <c r="E261" s="926"/>
      <c r="F261" s="927"/>
    </row>
    <row r="262" spans="1:9" s="963" customFormat="1">
      <c r="A262" s="1068">
        <v>2</v>
      </c>
      <c r="B262" s="945" t="s">
        <v>171</v>
      </c>
      <c r="C262" s="965"/>
      <c r="D262" s="966"/>
      <c r="E262" s="967" t="s">
        <v>101</v>
      </c>
      <c r="F262" s="968">
        <f>F317</f>
        <v>0</v>
      </c>
      <c r="H262" s="978">
        <f>H317</f>
        <v>0</v>
      </c>
    </row>
    <row r="263" spans="1:9">
      <c r="A263" s="1069"/>
      <c r="B263" s="947"/>
    </row>
    <row r="264" spans="1:9">
      <c r="A264" s="1069"/>
      <c r="B264" s="945"/>
      <c r="C264" s="965"/>
      <c r="D264" s="966"/>
      <c r="E264" s="1033"/>
      <c r="F264" s="968"/>
    </row>
    <row r="265" spans="1:9" s="963" customFormat="1">
      <c r="A265" s="1068">
        <v>3</v>
      </c>
      <c r="B265" s="945" t="s">
        <v>102</v>
      </c>
      <c r="C265" s="965"/>
      <c r="D265" s="966"/>
      <c r="E265" s="967" t="s">
        <v>101</v>
      </c>
      <c r="F265" s="968">
        <f>F342</f>
        <v>0</v>
      </c>
      <c r="H265" s="978">
        <f>H342</f>
        <v>0</v>
      </c>
    </row>
    <row r="266" spans="1:9">
      <c r="A266" s="1068"/>
      <c r="B266" s="947"/>
    </row>
    <row r="267" spans="1:9">
      <c r="A267" s="1069"/>
      <c r="B267" s="947"/>
      <c r="F267" s="972"/>
    </row>
    <row r="268" spans="1:9">
      <c r="A268" s="1068">
        <v>4</v>
      </c>
      <c r="B268" s="974" t="s">
        <v>103</v>
      </c>
      <c r="C268" s="975"/>
      <c r="D268" s="976"/>
      <c r="E268" s="967" t="s">
        <v>101</v>
      </c>
      <c r="F268" s="977">
        <f>F368</f>
        <v>0</v>
      </c>
      <c r="H268" s="978">
        <f>H368</f>
        <v>0</v>
      </c>
    </row>
    <row r="269" spans="1:9">
      <c r="A269" s="1070"/>
      <c r="B269" s="951"/>
      <c r="C269" s="952"/>
      <c r="D269" s="953"/>
      <c r="F269" s="944"/>
    </row>
    <row r="270" spans="1:9">
      <c r="A270" s="1071"/>
      <c r="B270" s="951"/>
      <c r="C270" s="952"/>
      <c r="D270" s="953"/>
      <c r="F270" s="944"/>
    </row>
    <row r="271" spans="1:9" ht="13.5" thickBot="1">
      <c r="A271" s="1072"/>
      <c r="B271" s="1073"/>
      <c r="C271" s="1074"/>
      <c r="D271" s="1075"/>
      <c r="E271" s="1076"/>
      <c r="F271" s="1077"/>
      <c r="G271" s="921"/>
      <c r="H271" s="922"/>
      <c r="I271" s="922"/>
    </row>
    <row r="272" spans="1:9" s="1078" customFormat="1" ht="15.75" thickTop="1">
      <c r="A272" s="1049"/>
      <c r="B272" s="923"/>
      <c r="C272" s="924"/>
      <c r="D272" s="925"/>
      <c r="E272" s="926"/>
      <c r="F272" s="927"/>
      <c r="H272" s="1079"/>
    </row>
    <row r="273" spans="1:8" s="1078" customFormat="1" ht="15">
      <c r="A273" s="945" t="s">
        <v>104</v>
      </c>
      <c r="B273" s="970"/>
      <c r="C273" s="965"/>
      <c r="D273" s="966"/>
      <c r="E273" s="967" t="s">
        <v>101</v>
      </c>
      <c r="F273" s="968">
        <f>SUM(F257:F270)</f>
        <v>0</v>
      </c>
      <c r="H273" s="978">
        <f>SUM(H258:H271)</f>
        <v>0</v>
      </c>
    </row>
    <row r="274" spans="1:8" s="1078" customFormat="1" ht="15">
      <c r="A274" s="919"/>
      <c r="B274" s="919"/>
      <c r="C274" s="919"/>
      <c r="D274" s="972"/>
      <c r="E274" s="926"/>
      <c r="F274" s="972"/>
    </row>
    <row r="275" spans="1:8" s="1078" customFormat="1" ht="15">
      <c r="A275" s="919"/>
      <c r="B275" s="919"/>
      <c r="C275" s="919"/>
      <c r="D275" s="972"/>
      <c r="E275" s="926"/>
      <c r="F275" s="972"/>
    </row>
    <row r="276" spans="1:8">
      <c r="A276" s="945" t="s">
        <v>172</v>
      </c>
      <c r="B276" s="919"/>
      <c r="C276" s="919"/>
      <c r="D276" s="972"/>
      <c r="F276" s="972"/>
    </row>
    <row r="277" spans="1:8" s="1000" customFormat="1">
      <c r="A277" s="1024"/>
      <c r="B277" s="919"/>
      <c r="C277" s="919"/>
      <c r="D277" s="972"/>
      <c r="E277" s="926"/>
      <c r="F277" s="972"/>
    </row>
    <row r="278" spans="1:8" s="1000" customFormat="1">
      <c r="B278" s="995" t="s">
        <v>173</v>
      </c>
      <c r="C278" s="965"/>
      <c r="D278" s="966"/>
      <c r="E278" s="1080"/>
      <c r="F278" s="999"/>
    </row>
    <row r="279" spans="1:8" s="1000" customFormat="1" ht="12">
      <c r="A279" s="1024"/>
      <c r="B279" s="1081"/>
      <c r="C279" s="1035"/>
      <c r="D279" s="1003"/>
      <c r="E279" s="1004"/>
      <c r="F279" s="1005"/>
    </row>
    <row r="280" spans="1:8" s="1000" customFormat="1" ht="36">
      <c r="A280" s="1012">
        <v>1.01</v>
      </c>
      <c r="B280" s="1014" t="s">
        <v>174</v>
      </c>
      <c r="C280" s="1015" t="s">
        <v>70</v>
      </c>
      <c r="D280" s="1009">
        <f>107+289</f>
        <v>396</v>
      </c>
      <c r="E280" s="480"/>
      <c r="F280" s="463">
        <f>D280*E280</f>
        <v>0</v>
      </c>
      <c r="G280" s="1006"/>
    </row>
    <row r="281" spans="1:8" s="963" customFormat="1">
      <c r="A281" s="1013"/>
      <c r="B281" s="1014"/>
      <c r="C281" s="1015"/>
      <c r="D281" s="1009"/>
      <c r="E281" s="1010"/>
      <c r="F281" s="463"/>
    </row>
    <row r="282" spans="1:8" s="963" customFormat="1" ht="36">
      <c r="A282" s="1012">
        <v>1.02</v>
      </c>
      <c r="B282" s="1014" t="s">
        <v>175</v>
      </c>
      <c r="C282" s="1015" t="s">
        <v>10</v>
      </c>
      <c r="D282" s="1009">
        <f>3+11</f>
        <v>14</v>
      </c>
      <c r="E282" s="480"/>
      <c r="F282" s="463">
        <f>D282*E282</f>
        <v>0</v>
      </c>
    </row>
    <row r="283" spans="1:8" s="963" customFormat="1">
      <c r="A283" s="1082"/>
      <c r="B283" s="923"/>
      <c r="C283" s="924"/>
      <c r="D283" s="925"/>
      <c r="E283" s="926"/>
      <c r="F283" s="927"/>
    </row>
    <row r="284" spans="1:8" s="963" customFormat="1">
      <c r="A284" s="1083"/>
      <c r="B284" s="1027" t="s">
        <v>170</v>
      </c>
      <c r="C284" s="1028"/>
      <c r="D284" s="1029"/>
      <c r="E284" s="1030" t="s">
        <v>118</v>
      </c>
      <c r="F284" s="1031">
        <f>SUM(F278:F283)</f>
        <v>0</v>
      </c>
      <c r="G284" s="1084"/>
      <c r="H284" s="1048">
        <f>SUM(F284:G284)</f>
        <v>0</v>
      </c>
    </row>
    <row r="285" spans="1:8">
      <c r="A285" s="945" t="s">
        <v>176</v>
      </c>
      <c r="B285" s="970"/>
      <c r="C285" s="965"/>
      <c r="D285" s="966"/>
      <c r="E285" s="1033"/>
      <c r="F285" s="968"/>
    </row>
    <row r="286" spans="1:8" s="1000" customFormat="1">
      <c r="A286" s="1025"/>
      <c r="B286" s="970"/>
      <c r="C286" s="965"/>
      <c r="D286" s="966"/>
      <c r="E286" s="1033"/>
      <c r="F286" s="968"/>
    </row>
    <row r="287" spans="1:8" s="993" customFormat="1">
      <c r="A287" s="1025">
        <v>2.0099999999999998</v>
      </c>
      <c r="B287" s="945" t="s">
        <v>171</v>
      </c>
      <c r="C287" s="965"/>
      <c r="D287" s="966"/>
      <c r="E287" s="1080"/>
      <c r="F287" s="999"/>
    </row>
    <row r="288" spans="1:8" s="1000" customFormat="1" ht="12">
      <c r="A288" s="1025"/>
      <c r="B288" s="1014"/>
      <c r="C288" s="1015"/>
      <c r="D288" s="1009"/>
      <c r="E288" s="1010"/>
      <c r="F288" s="463"/>
    </row>
    <row r="289" spans="1:10" s="1000" customFormat="1" ht="24">
      <c r="A289" s="1025">
        <v>2.02</v>
      </c>
      <c r="B289" s="1014" t="s">
        <v>177</v>
      </c>
      <c r="C289" s="1015" t="s">
        <v>40</v>
      </c>
      <c r="D289" s="1009">
        <f>25+74</f>
        <v>99</v>
      </c>
      <c r="E289" s="480"/>
      <c r="F289" s="463">
        <f>D289*E289</f>
        <v>0</v>
      </c>
    </row>
    <row r="290" spans="1:10" s="1000" customFormat="1" ht="12">
      <c r="A290" s="1025"/>
      <c r="B290" s="1085"/>
      <c r="C290" s="1015"/>
      <c r="D290" s="1009"/>
      <c r="E290" s="1010"/>
      <c r="F290" s="463"/>
    </row>
    <row r="291" spans="1:10" s="1000" customFormat="1" ht="24">
      <c r="A291" s="1025">
        <v>2.0299999999999998</v>
      </c>
      <c r="B291" s="1014" t="s">
        <v>178</v>
      </c>
      <c r="C291" s="1015" t="s">
        <v>40</v>
      </c>
      <c r="D291" s="1009">
        <v>411</v>
      </c>
      <c r="E291" s="480"/>
      <c r="F291" s="463">
        <f>D291*E291</f>
        <v>0</v>
      </c>
    </row>
    <row r="292" spans="1:10" s="1000" customFormat="1" ht="12">
      <c r="A292" s="1025"/>
      <c r="B292" s="1014"/>
      <c r="C292" s="1015"/>
      <c r="D292" s="1009"/>
      <c r="E292" s="1010"/>
      <c r="F292" s="463"/>
    </row>
    <row r="293" spans="1:10" s="1000" customFormat="1" ht="24">
      <c r="A293" s="1025">
        <v>2.04</v>
      </c>
      <c r="B293" s="1014" t="s">
        <v>106</v>
      </c>
      <c r="C293" s="1015" t="s">
        <v>40</v>
      </c>
      <c r="D293" s="1009">
        <v>2</v>
      </c>
      <c r="E293" s="480"/>
      <c r="F293" s="463">
        <f>D293*E293</f>
        <v>0</v>
      </c>
    </row>
    <row r="294" spans="1:10" s="1000" customFormat="1" ht="12">
      <c r="A294" s="1025"/>
      <c r="B294" s="1014"/>
      <c r="C294" s="1015"/>
      <c r="D294" s="1009"/>
      <c r="E294" s="1010"/>
      <c r="F294" s="463"/>
    </row>
    <row r="295" spans="1:10" s="1000" customFormat="1" ht="48">
      <c r="A295" s="1025">
        <v>2.0499999999999998</v>
      </c>
      <c r="B295" s="1014" t="s">
        <v>179</v>
      </c>
      <c r="C295" s="1015" t="s">
        <v>40</v>
      </c>
      <c r="D295" s="1009">
        <f>30+78</f>
        <v>108</v>
      </c>
      <c r="E295" s="480"/>
      <c r="F295" s="463">
        <f>D295*E295</f>
        <v>0</v>
      </c>
    </row>
    <row r="296" spans="1:10" s="1039" customFormat="1" ht="12">
      <c r="A296" s="1025"/>
      <c r="B296" s="1014"/>
      <c r="C296" s="1015"/>
      <c r="D296" s="1009"/>
      <c r="E296" s="1010" t="s">
        <v>107</v>
      </c>
      <c r="F296" s="463"/>
    </row>
    <row r="297" spans="1:10" s="1000" customFormat="1" ht="24">
      <c r="A297" s="1025">
        <v>2.06</v>
      </c>
      <c r="B297" s="1014" t="s">
        <v>180</v>
      </c>
      <c r="C297" s="1015" t="s">
        <v>11</v>
      </c>
      <c r="D297" s="1009">
        <v>238</v>
      </c>
      <c r="E297" s="480"/>
      <c r="F297" s="463">
        <f>D297*E297</f>
        <v>0</v>
      </c>
    </row>
    <row r="298" spans="1:10" s="1000" customFormat="1" ht="12">
      <c r="A298" s="1025"/>
      <c r="B298" s="1014"/>
      <c r="C298" s="1015"/>
      <c r="D298" s="1009"/>
      <c r="E298" s="1010"/>
      <c r="F298" s="463"/>
    </row>
    <row r="299" spans="1:10" s="1000" customFormat="1" ht="48">
      <c r="A299" s="1025">
        <v>2.0699999999999998</v>
      </c>
      <c r="B299" s="1014" t="s">
        <v>1415</v>
      </c>
      <c r="C299" s="1015" t="s">
        <v>40</v>
      </c>
      <c r="D299" s="1009">
        <f>7+19</f>
        <v>26</v>
      </c>
      <c r="E299" s="480"/>
      <c r="F299" s="463">
        <f>D299*E299</f>
        <v>0</v>
      </c>
    </row>
    <row r="300" spans="1:10" s="1000" customFormat="1" ht="12">
      <c r="A300" s="1025"/>
      <c r="B300" s="1014"/>
      <c r="C300" s="1015"/>
      <c r="D300" s="1009"/>
      <c r="E300" s="1010" t="s">
        <v>107</v>
      </c>
      <c r="F300" s="463"/>
    </row>
    <row r="301" spans="1:10" s="1000" customFormat="1" ht="60">
      <c r="A301" s="1025">
        <v>2.08</v>
      </c>
      <c r="B301" s="1014" t="s">
        <v>1416</v>
      </c>
      <c r="C301" s="1015" t="s">
        <v>40</v>
      </c>
      <c r="D301" s="1009">
        <f>22+57</f>
        <v>79</v>
      </c>
      <c r="E301" s="480"/>
      <c r="F301" s="463">
        <f>D301*E301</f>
        <v>0</v>
      </c>
    </row>
    <row r="302" spans="1:10" s="1000" customFormat="1" ht="12">
      <c r="A302" s="1025"/>
      <c r="B302" s="1014"/>
      <c r="C302" s="1015"/>
      <c r="D302" s="1009"/>
      <c r="E302" s="1010"/>
      <c r="F302" s="463"/>
    </row>
    <row r="303" spans="1:10" s="993" customFormat="1" ht="24">
      <c r="A303" s="1025">
        <v>2.09</v>
      </c>
      <c r="B303" s="1008" t="s">
        <v>1417</v>
      </c>
      <c r="C303" s="1015" t="s">
        <v>40</v>
      </c>
      <c r="D303" s="1009">
        <v>305</v>
      </c>
      <c r="E303" s="480"/>
      <c r="F303" s="463">
        <f>D303*E303</f>
        <v>0</v>
      </c>
    </row>
    <row r="304" spans="1:10" s="1000" customFormat="1" ht="12">
      <c r="A304" s="1025"/>
      <c r="B304" s="1086"/>
      <c r="C304" s="1014"/>
      <c r="D304" s="1008"/>
      <c r="E304" s="1010"/>
      <c r="F304" s="1047"/>
      <c r="G304" s="1006"/>
      <c r="H304" s="1006"/>
      <c r="I304" s="1006"/>
      <c r="J304" s="1006"/>
    </row>
    <row r="305" spans="1:8" s="1000" customFormat="1" ht="36">
      <c r="A305" s="1025">
        <v>2.1</v>
      </c>
      <c r="B305" s="1014" t="s">
        <v>181</v>
      </c>
      <c r="C305" s="1015" t="s">
        <v>40</v>
      </c>
      <c r="D305" s="1009">
        <f>25+74</f>
        <v>99</v>
      </c>
      <c r="E305" s="480"/>
      <c r="F305" s="463">
        <f>D305*E305</f>
        <v>0</v>
      </c>
    </row>
    <row r="306" spans="1:8" s="1000" customFormat="1" ht="12">
      <c r="A306" s="1025"/>
      <c r="B306" s="1014"/>
      <c r="C306" s="1015"/>
      <c r="D306" s="1009"/>
      <c r="E306" s="1010"/>
      <c r="F306" s="463"/>
    </row>
    <row r="307" spans="1:8" s="1000" customFormat="1" ht="24">
      <c r="A307" s="1025">
        <v>2.11</v>
      </c>
      <c r="B307" s="1014" t="s">
        <v>182</v>
      </c>
      <c r="C307" s="1015" t="s">
        <v>11</v>
      </c>
      <c r="D307" s="1009">
        <v>515</v>
      </c>
      <c r="E307" s="480"/>
      <c r="F307" s="463">
        <f>D307*E307</f>
        <v>0</v>
      </c>
    </row>
    <row r="308" spans="1:8" s="1000" customFormat="1" ht="12">
      <c r="A308" s="1025"/>
      <c r="B308" s="1014"/>
      <c r="C308" s="1015"/>
      <c r="D308" s="1009"/>
      <c r="E308" s="1010"/>
      <c r="F308" s="463"/>
    </row>
    <row r="309" spans="1:8" s="1000" customFormat="1" ht="12">
      <c r="A309" s="1025">
        <v>2.12</v>
      </c>
      <c r="B309" s="1014" t="s">
        <v>1418</v>
      </c>
      <c r="C309" s="1015" t="s">
        <v>1419</v>
      </c>
      <c r="D309" s="1009">
        <v>10</v>
      </c>
      <c r="E309" s="480"/>
      <c r="F309" s="463">
        <f>D309*E309</f>
        <v>0</v>
      </c>
    </row>
    <row r="310" spans="1:8" s="280" customFormat="1">
      <c r="A310" s="83"/>
      <c r="B310" s="1014"/>
      <c r="C310" s="1015"/>
      <c r="D310" s="1009"/>
      <c r="E310" s="1010"/>
      <c r="F310" s="463"/>
    </row>
    <row r="311" spans="1:8" s="280" customFormat="1" ht="36">
      <c r="A311" s="83">
        <v>2.13</v>
      </c>
      <c r="B311" s="1022" t="s">
        <v>1420</v>
      </c>
      <c r="C311" s="1015" t="s">
        <v>10</v>
      </c>
      <c r="D311" s="1009">
        <f>3+11</f>
        <v>14</v>
      </c>
      <c r="E311" s="480"/>
      <c r="F311" s="463">
        <f>D311*E311</f>
        <v>0</v>
      </c>
    </row>
    <row r="312" spans="1:8" s="1000" customFormat="1" ht="12">
      <c r="A312" s="1025"/>
      <c r="B312" s="1087"/>
      <c r="C312" s="1088"/>
      <c r="D312" s="1088"/>
      <c r="E312" s="482"/>
      <c r="F312" s="463"/>
    </row>
    <row r="313" spans="1:8" s="1000" customFormat="1" ht="24">
      <c r="A313" s="1025">
        <v>2.14</v>
      </c>
      <c r="B313" s="1087" t="s">
        <v>183</v>
      </c>
      <c r="C313" s="1088" t="s">
        <v>10</v>
      </c>
      <c r="D313" s="1009">
        <f>3+11</f>
        <v>14</v>
      </c>
      <c r="E313" s="481"/>
      <c r="F313" s="463">
        <f>D313*E313</f>
        <v>0</v>
      </c>
    </row>
    <row r="314" spans="1:8" s="963" customFormat="1">
      <c r="A314" s="1049"/>
      <c r="B314" s="1014"/>
      <c r="C314" s="1015"/>
      <c r="D314" s="1009"/>
      <c r="E314" s="1010"/>
      <c r="F314" s="463"/>
    </row>
    <row r="315" spans="1:8" ht="24">
      <c r="A315" s="1049"/>
      <c r="B315" s="1014" t="s">
        <v>115</v>
      </c>
      <c r="C315" s="1015" t="s">
        <v>116</v>
      </c>
      <c r="D315" s="1009">
        <v>30</v>
      </c>
      <c r="E315" s="480"/>
      <c r="F315" s="463">
        <f>D315*E315</f>
        <v>0</v>
      </c>
    </row>
    <row r="316" spans="1:8" s="963" customFormat="1">
      <c r="A316" s="1082"/>
      <c r="B316" s="923"/>
      <c r="C316" s="924"/>
      <c r="D316" s="925"/>
      <c r="E316" s="926"/>
      <c r="F316" s="927"/>
    </row>
    <row r="317" spans="1:8" s="1000" customFormat="1">
      <c r="A317" s="1089"/>
      <c r="B317" s="1090" t="s">
        <v>171</v>
      </c>
      <c r="C317" s="1028"/>
      <c r="D317" s="1029"/>
      <c r="E317" s="1030" t="s">
        <v>118</v>
      </c>
      <c r="F317" s="1031">
        <f>SUM(F287:F316)</f>
        <v>0</v>
      </c>
      <c r="G317" s="1091"/>
      <c r="H317" s="978">
        <f>SUM(F317:G317)</f>
        <v>0</v>
      </c>
    </row>
    <row r="318" spans="1:8" s="1000" customFormat="1">
      <c r="A318" s="1069">
        <v>3</v>
      </c>
      <c r="B318" s="970"/>
      <c r="C318" s="965"/>
      <c r="D318" s="966"/>
      <c r="E318" s="1033"/>
      <c r="F318" s="968"/>
    </row>
    <row r="319" spans="1:8" s="1000" customFormat="1">
      <c r="A319" s="1092"/>
      <c r="B319" s="970"/>
      <c r="C319" s="965"/>
      <c r="D319" s="966"/>
      <c r="E319" s="1033"/>
      <c r="F319" s="968"/>
    </row>
    <row r="320" spans="1:8" s="1000" customFormat="1">
      <c r="A320" s="1092"/>
      <c r="B320" s="945" t="s">
        <v>102</v>
      </c>
      <c r="C320" s="965"/>
      <c r="D320" s="966"/>
      <c r="E320" s="1033"/>
      <c r="F320" s="968"/>
    </row>
    <row r="321" spans="1:6" s="1000" customFormat="1" ht="12">
      <c r="A321" s="1012">
        <v>3.01</v>
      </c>
      <c r="B321" s="1034"/>
      <c r="C321" s="1035"/>
      <c r="D321" s="1003"/>
      <c r="E321" s="1036"/>
      <c r="F321" s="1037"/>
    </row>
    <row r="322" spans="1:6" s="1000" customFormat="1" ht="36">
      <c r="A322" s="1012">
        <v>3.02</v>
      </c>
      <c r="B322" s="1014" t="s">
        <v>119</v>
      </c>
      <c r="C322" s="1015"/>
      <c r="D322" s="1009"/>
      <c r="E322" s="1010"/>
      <c r="F322" s="463"/>
    </row>
    <row r="323" spans="1:6" s="1000" customFormat="1" ht="12">
      <c r="A323" s="1012"/>
      <c r="B323" s="1014" t="s">
        <v>120</v>
      </c>
      <c r="C323" s="1015" t="s">
        <v>10</v>
      </c>
      <c r="D323" s="1009">
        <f>0.3+0.7</f>
        <v>1</v>
      </c>
      <c r="E323" s="480"/>
      <c r="F323" s="463">
        <f>D323*E323</f>
        <v>0</v>
      </c>
    </row>
    <row r="324" spans="1:6" s="1000" customFormat="1" ht="12">
      <c r="A324" s="1025">
        <v>3.03</v>
      </c>
      <c r="B324" s="1014" t="s">
        <v>121</v>
      </c>
      <c r="C324" s="1015" t="s">
        <v>10</v>
      </c>
      <c r="D324" s="1009">
        <f>0.3+0.7</f>
        <v>1</v>
      </c>
      <c r="E324" s="480"/>
      <c r="F324" s="463">
        <f>D324*E324</f>
        <v>0</v>
      </c>
    </row>
    <row r="325" spans="1:6" s="1000" customFormat="1" ht="12">
      <c r="A325" s="1012"/>
      <c r="B325" s="1014"/>
      <c r="C325" s="1015"/>
      <c r="D325" s="1009"/>
      <c r="E325" s="1010"/>
      <c r="F325" s="463"/>
    </row>
    <row r="326" spans="1:6" s="1000" customFormat="1" ht="24">
      <c r="A326" s="1025">
        <v>3.04</v>
      </c>
      <c r="B326" s="1014" t="s">
        <v>184</v>
      </c>
      <c r="C326" s="1015" t="s">
        <v>70</v>
      </c>
      <c r="D326" s="1009">
        <v>302.5</v>
      </c>
      <c r="E326" s="480"/>
      <c r="F326" s="463">
        <f>D326*E326</f>
        <v>0</v>
      </c>
    </row>
    <row r="327" spans="1:6" s="1000" customFormat="1" ht="12">
      <c r="A327" s="1025"/>
      <c r="B327" s="1014"/>
      <c r="C327" s="1015"/>
      <c r="D327" s="1009"/>
      <c r="E327" s="1010"/>
      <c r="F327" s="463"/>
    </row>
    <row r="328" spans="1:6" s="1000" customFormat="1" ht="24">
      <c r="A328" s="1025">
        <v>3.05</v>
      </c>
      <c r="B328" s="1014" t="s">
        <v>125</v>
      </c>
      <c r="C328" s="1015" t="s">
        <v>70</v>
      </c>
      <c r="D328" s="1009">
        <f>94+0</f>
        <v>94</v>
      </c>
      <c r="E328" s="480"/>
      <c r="F328" s="463">
        <f>D328*E328</f>
        <v>0</v>
      </c>
    </row>
    <row r="329" spans="1:6" s="1000" customFormat="1" ht="12">
      <c r="A329" s="1012"/>
      <c r="B329" s="1014"/>
      <c r="C329" s="1015"/>
      <c r="D329" s="1009"/>
      <c r="E329" s="1010"/>
      <c r="F329" s="463"/>
    </row>
    <row r="330" spans="1:6" s="1000" customFormat="1" ht="12">
      <c r="A330" s="1025">
        <v>3.06</v>
      </c>
      <c r="B330" s="1014" t="s">
        <v>185</v>
      </c>
      <c r="C330" s="1015" t="s">
        <v>70</v>
      </c>
      <c r="D330" s="1009">
        <v>138</v>
      </c>
      <c r="E330" s="480"/>
      <c r="F330" s="463">
        <f>D330*E330</f>
        <v>0</v>
      </c>
    </row>
    <row r="331" spans="1:6" s="1000" customFormat="1" ht="12">
      <c r="A331" s="1025"/>
      <c r="B331" s="1014"/>
      <c r="C331" s="1015"/>
      <c r="D331" s="1009"/>
      <c r="E331" s="1010"/>
      <c r="F331" s="463"/>
    </row>
    <row r="332" spans="1:6" s="1000" customFormat="1" ht="12">
      <c r="A332" s="1025">
        <v>3.07</v>
      </c>
      <c r="B332" s="1014" t="s">
        <v>186</v>
      </c>
      <c r="C332" s="1015" t="s">
        <v>70</v>
      </c>
      <c r="D332" s="1009">
        <f>94+0</f>
        <v>94</v>
      </c>
      <c r="E332" s="480"/>
      <c r="F332" s="463">
        <f>D332*E332</f>
        <v>0</v>
      </c>
    </row>
    <row r="333" spans="1:6" s="1000" customFormat="1" ht="12">
      <c r="A333" s="1025"/>
      <c r="B333" s="1014"/>
      <c r="C333" s="1015"/>
      <c r="D333" s="1009"/>
      <c r="E333" s="1010"/>
      <c r="F333" s="463"/>
    </row>
    <row r="334" spans="1:6" s="1000" customFormat="1" ht="12">
      <c r="A334" s="1025">
        <v>3.08</v>
      </c>
      <c r="B334" s="1014" t="s">
        <v>187</v>
      </c>
      <c r="C334" s="1015" t="s">
        <v>10</v>
      </c>
      <c r="D334" s="1009">
        <f>9</f>
        <v>9</v>
      </c>
      <c r="E334" s="480"/>
      <c r="F334" s="463">
        <f>D334*E334</f>
        <v>0</v>
      </c>
    </row>
    <row r="335" spans="1:6" s="1000" customFormat="1" ht="12">
      <c r="A335" s="1012"/>
      <c r="B335" s="1014"/>
      <c r="C335" s="1015"/>
      <c r="D335" s="1009"/>
      <c r="E335" s="1010"/>
      <c r="F335" s="463"/>
    </row>
    <row r="336" spans="1:6" s="1000" customFormat="1" ht="12">
      <c r="A336" s="1025">
        <v>3.09</v>
      </c>
      <c r="B336" s="1014" t="s">
        <v>188</v>
      </c>
      <c r="C336" s="1015" t="s">
        <v>10</v>
      </c>
      <c r="D336" s="1009">
        <v>1</v>
      </c>
      <c r="E336" s="480"/>
      <c r="F336" s="463">
        <f>D336*E336</f>
        <v>0</v>
      </c>
    </row>
    <row r="337" spans="1:8" s="1000" customFormat="1" ht="12">
      <c r="A337" s="1012"/>
      <c r="B337" s="1014"/>
      <c r="C337" s="1015"/>
      <c r="D337" s="1009"/>
      <c r="E337" s="1010"/>
      <c r="F337" s="463"/>
    </row>
    <row r="338" spans="1:8" s="1000" customFormat="1" ht="36">
      <c r="A338" s="1025">
        <v>3.1</v>
      </c>
      <c r="B338" s="1014" t="s">
        <v>189</v>
      </c>
      <c r="C338" s="1015" t="s">
        <v>10</v>
      </c>
      <c r="D338" s="1009">
        <v>1</v>
      </c>
      <c r="E338" s="480"/>
      <c r="F338" s="463">
        <f>D338*E338</f>
        <v>0</v>
      </c>
    </row>
    <row r="339" spans="1:8">
      <c r="A339" s="1025"/>
      <c r="B339" s="1014"/>
      <c r="C339" s="1015"/>
      <c r="D339" s="1009"/>
      <c r="E339" s="1010"/>
      <c r="F339" s="463"/>
    </row>
    <row r="340" spans="1:8" ht="24">
      <c r="A340" s="1049"/>
      <c r="B340" s="1014" t="s">
        <v>190</v>
      </c>
      <c r="C340" s="1015" t="s">
        <v>70</v>
      </c>
      <c r="D340" s="1009">
        <f>108+289</f>
        <v>397</v>
      </c>
      <c r="E340" s="480"/>
      <c r="F340" s="463">
        <f>D340*E340</f>
        <v>0</v>
      </c>
    </row>
    <row r="341" spans="1:8">
      <c r="A341" s="1049"/>
    </row>
    <row r="342" spans="1:8">
      <c r="A342" s="1093"/>
      <c r="B342" s="1027" t="s">
        <v>102</v>
      </c>
      <c r="C342" s="1028"/>
      <c r="D342" s="1029"/>
      <c r="E342" s="1030" t="s">
        <v>118</v>
      </c>
      <c r="F342" s="1031">
        <f>SUM(F323:F341)</f>
        <v>0</v>
      </c>
      <c r="G342" s="1094"/>
      <c r="H342" s="978">
        <f>SUM(F342:G342)</f>
        <v>0</v>
      </c>
    </row>
    <row r="343" spans="1:8" s="1000" customFormat="1">
      <c r="A343" s="1092"/>
      <c r="B343" s="923"/>
      <c r="C343" s="924"/>
      <c r="D343" s="925"/>
      <c r="E343" s="926"/>
      <c r="F343" s="927"/>
    </row>
    <row r="344" spans="1:8" s="1000" customFormat="1">
      <c r="A344" s="1095">
        <v>4</v>
      </c>
      <c r="B344" s="945" t="s">
        <v>103</v>
      </c>
      <c r="C344" s="965"/>
      <c r="D344" s="966"/>
      <c r="E344" s="1033"/>
      <c r="F344" s="968"/>
    </row>
    <row r="345" spans="1:8" s="1000" customFormat="1" ht="12">
      <c r="A345" s="1092"/>
      <c r="B345" s="1014"/>
      <c r="C345" s="1015"/>
      <c r="D345" s="1009"/>
      <c r="E345" s="1010"/>
      <c r="F345" s="463"/>
    </row>
    <row r="346" spans="1:8" s="1000" customFormat="1" ht="12">
      <c r="A346" s="1025">
        <v>4.01</v>
      </c>
      <c r="B346" s="1034" t="s">
        <v>138</v>
      </c>
      <c r="C346" s="1015"/>
      <c r="D346" s="1009"/>
      <c r="E346" s="1010"/>
      <c r="F346" s="463"/>
    </row>
    <row r="347" spans="1:8" s="1000" customFormat="1" ht="12">
      <c r="A347" s="1025"/>
      <c r="B347" s="1085"/>
      <c r="C347" s="1015"/>
      <c r="D347" s="1009"/>
      <c r="E347" s="1010"/>
      <c r="F347" s="463"/>
    </row>
    <row r="348" spans="1:8" s="993" customFormat="1" ht="12">
      <c r="A348" s="1025">
        <v>4.0199999999999996</v>
      </c>
      <c r="B348" s="1014" t="s">
        <v>191</v>
      </c>
      <c r="C348" s="1015" t="s">
        <v>70</v>
      </c>
      <c r="D348" s="1009">
        <v>145</v>
      </c>
      <c r="E348" s="480"/>
      <c r="F348" s="463">
        <f>D348*E348</f>
        <v>0</v>
      </c>
    </row>
    <row r="349" spans="1:8" s="993" customFormat="1" ht="12">
      <c r="A349" s="1092"/>
      <c r="B349" s="1085"/>
      <c r="C349" s="1015"/>
      <c r="D349" s="1009"/>
      <c r="E349" s="1010"/>
      <c r="F349" s="463"/>
    </row>
    <row r="350" spans="1:8" s="1039" customFormat="1" ht="12">
      <c r="A350" s="83">
        <v>4.03</v>
      </c>
      <c r="B350" s="1014" t="s">
        <v>192</v>
      </c>
      <c r="C350" s="1015" t="s">
        <v>70</v>
      </c>
      <c r="D350" s="1009">
        <v>99</v>
      </c>
      <c r="E350" s="480"/>
      <c r="F350" s="463">
        <f>D350*E350</f>
        <v>0</v>
      </c>
    </row>
    <row r="351" spans="1:8" s="993" customFormat="1" ht="12">
      <c r="A351" s="1092"/>
      <c r="B351" s="1014"/>
      <c r="C351" s="1015"/>
      <c r="D351" s="1009"/>
      <c r="E351" s="1010"/>
      <c r="F351" s="463"/>
    </row>
    <row r="352" spans="1:8" s="1039" customFormat="1" ht="12">
      <c r="A352" s="83">
        <v>4.04</v>
      </c>
      <c r="B352" s="1008" t="s">
        <v>193</v>
      </c>
      <c r="C352" s="1009" t="s">
        <v>70</v>
      </c>
      <c r="D352" s="1009">
        <f>15+304</f>
        <v>319</v>
      </c>
      <c r="E352" s="480"/>
      <c r="F352" s="463">
        <f>D352*E352</f>
        <v>0</v>
      </c>
    </row>
    <row r="353" spans="1:8" s="1000" customFormat="1" ht="12">
      <c r="A353" s="83"/>
      <c r="B353" s="1014"/>
      <c r="C353" s="1015"/>
      <c r="D353" s="1009"/>
      <c r="E353" s="1010"/>
      <c r="F353" s="463"/>
    </row>
    <row r="354" spans="1:8" s="1039" customFormat="1" ht="12">
      <c r="A354" s="1025"/>
      <c r="B354" s="1008" t="s">
        <v>194</v>
      </c>
      <c r="C354" s="1009" t="s">
        <v>70</v>
      </c>
      <c r="D354" s="1009">
        <v>99</v>
      </c>
      <c r="E354" s="480"/>
      <c r="F354" s="463">
        <f>D354*E354</f>
        <v>0</v>
      </c>
    </row>
    <row r="355" spans="1:8" s="1000" customFormat="1" ht="12">
      <c r="A355" s="1025"/>
      <c r="B355" s="1008"/>
      <c r="C355" s="1009"/>
      <c r="D355" s="1009"/>
      <c r="E355" s="1010"/>
      <c r="F355" s="463"/>
    </row>
    <row r="356" spans="1:8" s="1039" customFormat="1" ht="12">
      <c r="A356" s="1025">
        <v>4.05</v>
      </c>
      <c r="B356" s="1034" t="s">
        <v>195</v>
      </c>
      <c r="C356" s="1015"/>
      <c r="D356" s="1009"/>
      <c r="E356" s="1010"/>
      <c r="F356" s="463"/>
    </row>
    <row r="357" spans="1:8" s="1039" customFormat="1" ht="12">
      <c r="A357" s="1025"/>
      <c r="B357" s="1014"/>
      <c r="C357" s="1015"/>
      <c r="D357" s="1009"/>
      <c r="E357" s="1010"/>
      <c r="F357" s="463"/>
    </row>
    <row r="358" spans="1:8" s="1000" customFormat="1" ht="12">
      <c r="A358" s="1025">
        <v>4.0599999999999996</v>
      </c>
      <c r="B358" s="1014" t="s">
        <v>196</v>
      </c>
      <c r="C358" s="1015" t="s">
        <v>10</v>
      </c>
      <c r="D358" s="1009">
        <v>4</v>
      </c>
      <c r="E358" s="480"/>
      <c r="F358" s="463">
        <f>D358*E358</f>
        <v>0</v>
      </c>
    </row>
    <row r="359" spans="1:8" s="1039" customFormat="1" ht="12">
      <c r="A359" s="1025"/>
      <c r="B359" s="1014"/>
      <c r="C359" s="1015"/>
      <c r="D359" s="1009"/>
      <c r="E359" s="1010"/>
      <c r="F359" s="463"/>
    </row>
    <row r="360" spans="1:8" s="1000" customFormat="1" ht="12">
      <c r="A360" s="1025">
        <v>4.07</v>
      </c>
      <c r="B360" s="1014" t="s">
        <v>197</v>
      </c>
      <c r="C360" s="1015" t="s">
        <v>10</v>
      </c>
      <c r="D360" s="1009">
        <v>2</v>
      </c>
      <c r="E360" s="480"/>
      <c r="F360" s="463">
        <f>D360*E360</f>
        <v>0</v>
      </c>
    </row>
    <row r="361" spans="1:8" s="1000" customFormat="1" ht="12">
      <c r="A361" s="1096"/>
      <c r="B361" s="1014"/>
      <c r="C361" s="1015"/>
      <c r="D361" s="1009"/>
      <c r="E361" s="1010"/>
      <c r="F361" s="463"/>
    </row>
    <row r="362" spans="1:8">
      <c r="A362" s="1025">
        <v>4.08</v>
      </c>
      <c r="B362" s="1014" t="s">
        <v>198</v>
      </c>
      <c r="C362" s="1015" t="s">
        <v>10</v>
      </c>
      <c r="D362" s="1009">
        <v>2</v>
      </c>
      <c r="E362" s="480"/>
      <c r="F362" s="463">
        <f>D362*E362</f>
        <v>0</v>
      </c>
    </row>
    <row r="363" spans="1:8">
      <c r="A363" s="1000"/>
      <c r="B363" s="1014"/>
      <c r="C363" s="1015"/>
      <c r="D363" s="1009"/>
      <c r="E363" s="1010"/>
      <c r="F363" s="463"/>
    </row>
    <row r="364" spans="1:8">
      <c r="A364" s="1025">
        <v>4.09</v>
      </c>
      <c r="B364" s="1085" t="s">
        <v>1421</v>
      </c>
      <c r="C364" s="1015" t="s">
        <v>10</v>
      </c>
      <c r="D364" s="1009"/>
      <c r="E364" s="1010"/>
      <c r="F364" s="463">
        <f>0.1*SUM(F344:F363)</f>
        <v>0</v>
      </c>
    </row>
    <row r="365" spans="1:8">
      <c r="A365" s="1049"/>
      <c r="B365" s="1014"/>
      <c r="C365" s="1015"/>
      <c r="D365" s="1009"/>
      <c r="E365" s="1010"/>
      <c r="F365" s="463"/>
    </row>
    <row r="366" spans="1:8">
      <c r="A366" s="1049"/>
      <c r="B366" s="1085" t="s">
        <v>167</v>
      </c>
      <c r="C366" s="1015" t="s">
        <v>10</v>
      </c>
      <c r="D366" s="1009"/>
      <c r="F366" s="463">
        <f>0.1*SUM(F344:F363)</f>
        <v>0</v>
      </c>
    </row>
    <row r="367" spans="1:8">
      <c r="C367" s="965"/>
      <c r="D367" s="966"/>
      <c r="E367" s="1033"/>
    </row>
    <row r="368" spans="1:8">
      <c r="A368" s="1026"/>
      <c r="B368" s="1027" t="s">
        <v>168</v>
      </c>
      <c r="C368" s="1028"/>
      <c r="D368" s="1029"/>
      <c r="E368" s="1030" t="s">
        <v>118</v>
      </c>
      <c r="F368" s="1031">
        <f>SUM(F347:F367)</f>
        <v>0</v>
      </c>
      <c r="G368" s="1094"/>
      <c r="H368" s="978">
        <f>SUM(F368:G368)</f>
        <v>0</v>
      </c>
    </row>
    <row r="370" spans="1:7">
      <c r="A370" s="1095">
        <v>5</v>
      </c>
      <c r="B370" s="945" t="s">
        <v>1714</v>
      </c>
      <c r="C370" s="965"/>
      <c r="D370" s="966"/>
      <c r="E370" s="1033"/>
      <c r="F370" s="968"/>
      <c r="G370" s="1000"/>
    </row>
    <row r="372" spans="1:7">
      <c r="A372" s="1025">
        <v>5.0129999999999999</v>
      </c>
      <c r="B372" s="1014" t="s">
        <v>1715</v>
      </c>
      <c r="C372" s="924" t="s">
        <v>1716</v>
      </c>
      <c r="D372" s="925">
        <v>1</v>
      </c>
      <c r="E372" s="508"/>
      <c r="F372" s="463">
        <f>D372*E372</f>
        <v>0</v>
      </c>
    </row>
    <row r="374" spans="1:7">
      <c r="A374" s="1026"/>
      <c r="B374" s="1027" t="s">
        <v>1714</v>
      </c>
      <c r="C374" s="1028"/>
      <c r="D374" s="1029"/>
      <c r="E374" s="1030" t="s">
        <v>118</v>
      </c>
      <c r="F374" s="1031">
        <f>SUM(F372:F373)</f>
        <v>0</v>
      </c>
      <c r="G374" s="1094"/>
    </row>
  </sheetData>
  <sheetProtection algorithmName="SHA-512" hashValue="STKeItDabkL039TkQlUfEw5/m8ut+gVEM4AuDtcYRxQ/PfSiQOxtqTBzbDrE7QJd8e6caHq+Kj6ntb4k08x/Ww==" saltValue="53X8tot0CFbiwr/6CcZtqw==" spinCount="100000" sheet="1" objects="1" scenarios="1" selectLockedCells="1"/>
  <pageMargins left="0.7" right="0.7" top="0.75" bottom="0.75" header="0.3" footer="0.3"/>
  <pageSetup paperSize="9" scale="53" orientation="portrait" r:id="rId1"/>
  <headerFooter>
    <oddHeader>&amp;CUREDITEV RAFUTSKEGA PARKA Z LAŠČAKOVO VILO - Park&amp;RLUZ, d.d.</oddHeader>
    <oddFooter>&amp;C&amp;P</oddFooter>
  </headerFooter>
  <rowBreaks count="4" manualBreakCount="4">
    <brk id="163" max="6" man="1"/>
    <brk id="228" max="6" man="1"/>
    <brk id="274" max="6" man="1"/>
    <brk id="343" max="6" man="1"/>
  </rowBreaks>
  <colBreaks count="1" manualBreakCount="1">
    <brk id="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59999389629810485"/>
    <pageSetUpPr fitToPage="1"/>
  </sheetPr>
  <dimension ref="A1:F49"/>
  <sheetViews>
    <sheetView view="pageBreakPreview" zoomScale="80" zoomScaleNormal="100" zoomScaleSheetLayoutView="80" workbookViewId="0">
      <selection activeCell="E5" sqref="E5"/>
    </sheetView>
  </sheetViews>
  <sheetFormatPr defaultRowHeight="15.75"/>
  <cols>
    <col min="1" max="1" width="5.42578125" style="1141" bestFit="1" customWidth="1"/>
    <col min="2" max="2" width="45.7109375" style="1120" customWidth="1"/>
    <col min="3" max="3" width="8.7109375" style="1116" customWidth="1"/>
    <col min="4" max="4" width="9.28515625" style="1117" bestFit="1" customWidth="1"/>
    <col min="5" max="5" width="13.7109375" style="350" customWidth="1"/>
    <col min="6" max="6" width="14.5703125" style="1142" customWidth="1"/>
    <col min="7" max="7" width="30.7109375" style="1120" customWidth="1"/>
    <col min="8" max="10" width="9.140625" style="1120"/>
    <col min="11" max="11" width="8.28515625" style="1120" customWidth="1"/>
    <col min="12" max="256" width="9.140625" style="1120"/>
    <col min="257" max="257" width="4.7109375" style="1120" customWidth="1"/>
    <col min="258" max="258" width="45.7109375" style="1120" customWidth="1"/>
    <col min="259" max="259" width="8.7109375" style="1120" customWidth="1"/>
    <col min="260" max="260" width="9.28515625" style="1120" bestFit="1" customWidth="1"/>
    <col min="261" max="261" width="13.7109375" style="1120" customWidth="1"/>
    <col min="262" max="262" width="14.5703125" style="1120" customWidth="1"/>
    <col min="263" max="263" width="30.7109375" style="1120" customWidth="1"/>
    <col min="264" max="266" width="9.140625" style="1120"/>
    <col min="267" max="267" width="8.28515625" style="1120" customWidth="1"/>
    <col min="268" max="512" width="9.140625" style="1120"/>
    <col min="513" max="513" width="4.7109375" style="1120" customWidth="1"/>
    <col min="514" max="514" width="45.7109375" style="1120" customWidth="1"/>
    <col min="515" max="515" width="8.7109375" style="1120" customWidth="1"/>
    <col min="516" max="516" width="9.28515625" style="1120" bestFit="1" customWidth="1"/>
    <col min="517" max="517" width="13.7109375" style="1120" customWidth="1"/>
    <col min="518" max="518" width="14.5703125" style="1120" customWidth="1"/>
    <col min="519" max="519" width="30.7109375" style="1120" customWidth="1"/>
    <col min="520" max="522" width="9.140625" style="1120"/>
    <col min="523" max="523" width="8.28515625" style="1120" customWidth="1"/>
    <col min="524" max="768" width="9.140625" style="1120"/>
    <col min="769" max="769" width="4.7109375" style="1120" customWidth="1"/>
    <col min="770" max="770" width="45.7109375" style="1120" customWidth="1"/>
    <col min="771" max="771" width="8.7109375" style="1120" customWidth="1"/>
    <col min="772" max="772" width="9.28515625" style="1120" bestFit="1" customWidth="1"/>
    <col min="773" max="773" width="13.7109375" style="1120" customWidth="1"/>
    <col min="774" max="774" width="14.5703125" style="1120" customWidth="1"/>
    <col min="775" max="775" width="30.7109375" style="1120" customWidth="1"/>
    <col min="776" max="778" width="9.140625" style="1120"/>
    <col min="779" max="779" width="8.28515625" style="1120" customWidth="1"/>
    <col min="780" max="1024" width="9.140625" style="1120"/>
    <col min="1025" max="1025" width="4.7109375" style="1120" customWidth="1"/>
    <col min="1026" max="1026" width="45.7109375" style="1120" customWidth="1"/>
    <col min="1027" max="1027" width="8.7109375" style="1120" customWidth="1"/>
    <col min="1028" max="1028" width="9.28515625" style="1120" bestFit="1" customWidth="1"/>
    <col min="1029" max="1029" width="13.7109375" style="1120" customWidth="1"/>
    <col min="1030" max="1030" width="14.5703125" style="1120" customWidth="1"/>
    <col min="1031" max="1031" width="30.7109375" style="1120" customWidth="1"/>
    <col min="1032" max="1034" width="9.140625" style="1120"/>
    <col min="1035" max="1035" width="8.28515625" style="1120" customWidth="1"/>
    <col min="1036" max="1280" width="9.140625" style="1120"/>
    <col min="1281" max="1281" width="4.7109375" style="1120" customWidth="1"/>
    <col min="1282" max="1282" width="45.7109375" style="1120" customWidth="1"/>
    <col min="1283" max="1283" width="8.7109375" style="1120" customWidth="1"/>
    <col min="1284" max="1284" width="9.28515625" style="1120" bestFit="1" customWidth="1"/>
    <col min="1285" max="1285" width="13.7109375" style="1120" customWidth="1"/>
    <col min="1286" max="1286" width="14.5703125" style="1120" customWidth="1"/>
    <col min="1287" max="1287" width="30.7109375" style="1120" customWidth="1"/>
    <col min="1288" max="1290" width="9.140625" style="1120"/>
    <col min="1291" max="1291" width="8.28515625" style="1120" customWidth="1"/>
    <col min="1292" max="1536" width="9.140625" style="1120"/>
    <col min="1537" max="1537" width="4.7109375" style="1120" customWidth="1"/>
    <col min="1538" max="1538" width="45.7109375" style="1120" customWidth="1"/>
    <col min="1539" max="1539" width="8.7109375" style="1120" customWidth="1"/>
    <col min="1540" max="1540" width="9.28515625" style="1120" bestFit="1" customWidth="1"/>
    <col min="1541" max="1541" width="13.7109375" style="1120" customWidth="1"/>
    <col min="1542" max="1542" width="14.5703125" style="1120" customWidth="1"/>
    <col min="1543" max="1543" width="30.7109375" style="1120" customWidth="1"/>
    <col min="1544" max="1546" width="9.140625" style="1120"/>
    <col min="1547" max="1547" width="8.28515625" style="1120" customWidth="1"/>
    <col min="1548" max="1792" width="9.140625" style="1120"/>
    <col min="1793" max="1793" width="4.7109375" style="1120" customWidth="1"/>
    <col min="1794" max="1794" width="45.7109375" style="1120" customWidth="1"/>
    <col min="1795" max="1795" width="8.7109375" style="1120" customWidth="1"/>
    <col min="1796" max="1796" width="9.28515625" style="1120" bestFit="1" customWidth="1"/>
    <col min="1797" max="1797" width="13.7109375" style="1120" customWidth="1"/>
    <col min="1798" max="1798" width="14.5703125" style="1120" customWidth="1"/>
    <col min="1799" max="1799" width="30.7109375" style="1120" customWidth="1"/>
    <col min="1800" max="1802" width="9.140625" style="1120"/>
    <col min="1803" max="1803" width="8.28515625" style="1120" customWidth="1"/>
    <col min="1804" max="2048" width="9.140625" style="1120"/>
    <col min="2049" max="2049" width="4.7109375" style="1120" customWidth="1"/>
    <col min="2050" max="2050" width="45.7109375" style="1120" customWidth="1"/>
    <col min="2051" max="2051" width="8.7109375" style="1120" customWidth="1"/>
    <col min="2052" max="2052" width="9.28515625" style="1120" bestFit="1" customWidth="1"/>
    <col min="2053" max="2053" width="13.7109375" style="1120" customWidth="1"/>
    <col min="2054" max="2054" width="14.5703125" style="1120" customWidth="1"/>
    <col min="2055" max="2055" width="30.7109375" style="1120" customWidth="1"/>
    <col min="2056" max="2058" width="9.140625" style="1120"/>
    <col min="2059" max="2059" width="8.28515625" style="1120" customWidth="1"/>
    <col min="2060" max="2304" width="9.140625" style="1120"/>
    <col min="2305" max="2305" width="4.7109375" style="1120" customWidth="1"/>
    <col min="2306" max="2306" width="45.7109375" style="1120" customWidth="1"/>
    <col min="2307" max="2307" width="8.7109375" style="1120" customWidth="1"/>
    <col min="2308" max="2308" width="9.28515625" style="1120" bestFit="1" customWidth="1"/>
    <col min="2309" max="2309" width="13.7109375" style="1120" customWidth="1"/>
    <col min="2310" max="2310" width="14.5703125" style="1120" customWidth="1"/>
    <col min="2311" max="2311" width="30.7109375" style="1120" customWidth="1"/>
    <col min="2312" max="2314" width="9.140625" style="1120"/>
    <col min="2315" max="2315" width="8.28515625" style="1120" customWidth="1"/>
    <col min="2316" max="2560" width="9.140625" style="1120"/>
    <col min="2561" max="2561" width="4.7109375" style="1120" customWidth="1"/>
    <col min="2562" max="2562" width="45.7109375" style="1120" customWidth="1"/>
    <col min="2563" max="2563" width="8.7109375" style="1120" customWidth="1"/>
    <col min="2564" max="2564" width="9.28515625" style="1120" bestFit="1" customWidth="1"/>
    <col min="2565" max="2565" width="13.7109375" style="1120" customWidth="1"/>
    <col min="2566" max="2566" width="14.5703125" style="1120" customWidth="1"/>
    <col min="2567" max="2567" width="30.7109375" style="1120" customWidth="1"/>
    <col min="2568" max="2570" width="9.140625" style="1120"/>
    <col min="2571" max="2571" width="8.28515625" style="1120" customWidth="1"/>
    <col min="2572" max="2816" width="9.140625" style="1120"/>
    <col min="2817" max="2817" width="4.7109375" style="1120" customWidth="1"/>
    <col min="2818" max="2818" width="45.7109375" style="1120" customWidth="1"/>
    <col min="2819" max="2819" width="8.7109375" style="1120" customWidth="1"/>
    <col min="2820" max="2820" width="9.28515625" style="1120" bestFit="1" customWidth="1"/>
    <col min="2821" max="2821" width="13.7109375" style="1120" customWidth="1"/>
    <col min="2822" max="2822" width="14.5703125" style="1120" customWidth="1"/>
    <col min="2823" max="2823" width="30.7109375" style="1120" customWidth="1"/>
    <col min="2824" max="2826" width="9.140625" style="1120"/>
    <col min="2827" max="2827" width="8.28515625" style="1120" customWidth="1"/>
    <col min="2828" max="3072" width="9.140625" style="1120"/>
    <col min="3073" max="3073" width="4.7109375" style="1120" customWidth="1"/>
    <col min="3074" max="3074" width="45.7109375" style="1120" customWidth="1"/>
    <col min="3075" max="3075" width="8.7109375" style="1120" customWidth="1"/>
    <col min="3076" max="3076" width="9.28515625" style="1120" bestFit="1" customWidth="1"/>
    <col min="3077" max="3077" width="13.7109375" style="1120" customWidth="1"/>
    <col min="3078" max="3078" width="14.5703125" style="1120" customWidth="1"/>
    <col min="3079" max="3079" width="30.7109375" style="1120" customWidth="1"/>
    <col min="3080" max="3082" width="9.140625" style="1120"/>
    <col min="3083" max="3083" width="8.28515625" style="1120" customWidth="1"/>
    <col min="3084" max="3328" width="9.140625" style="1120"/>
    <col min="3329" max="3329" width="4.7109375" style="1120" customWidth="1"/>
    <col min="3330" max="3330" width="45.7109375" style="1120" customWidth="1"/>
    <col min="3331" max="3331" width="8.7109375" style="1120" customWidth="1"/>
    <col min="3332" max="3332" width="9.28515625" style="1120" bestFit="1" customWidth="1"/>
    <col min="3333" max="3333" width="13.7109375" style="1120" customWidth="1"/>
    <col min="3334" max="3334" width="14.5703125" style="1120" customWidth="1"/>
    <col min="3335" max="3335" width="30.7109375" style="1120" customWidth="1"/>
    <col min="3336" max="3338" width="9.140625" style="1120"/>
    <col min="3339" max="3339" width="8.28515625" style="1120" customWidth="1"/>
    <col min="3340" max="3584" width="9.140625" style="1120"/>
    <col min="3585" max="3585" width="4.7109375" style="1120" customWidth="1"/>
    <col min="3586" max="3586" width="45.7109375" style="1120" customWidth="1"/>
    <col min="3587" max="3587" width="8.7109375" style="1120" customWidth="1"/>
    <col min="3588" max="3588" width="9.28515625" style="1120" bestFit="1" customWidth="1"/>
    <col min="3589" max="3589" width="13.7109375" style="1120" customWidth="1"/>
    <col min="3590" max="3590" width="14.5703125" style="1120" customWidth="1"/>
    <col min="3591" max="3591" width="30.7109375" style="1120" customWidth="1"/>
    <col min="3592" max="3594" width="9.140625" style="1120"/>
    <col min="3595" max="3595" width="8.28515625" style="1120" customWidth="1"/>
    <col min="3596" max="3840" width="9.140625" style="1120"/>
    <col min="3841" max="3841" width="4.7109375" style="1120" customWidth="1"/>
    <col min="3842" max="3842" width="45.7109375" style="1120" customWidth="1"/>
    <col min="3843" max="3843" width="8.7109375" style="1120" customWidth="1"/>
    <col min="3844" max="3844" width="9.28515625" style="1120" bestFit="1" customWidth="1"/>
    <col min="3845" max="3845" width="13.7109375" style="1120" customWidth="1"/>
    <col min="3846" max="3846" width="14.5703125" style="1120" customWidth="1"/>
    <col min="3847" max="3847" width="30.7109375" style="1120" customWidth="1"/>
    <col min="3848" max="3850" width="9.140625" style="1120"/>
    <col min="3851" max="3851" width="8.28515625" style="1120" customWidth="1"/>
    <col min="3852" max="4096" width="9.140625" style="1120"/>
    <col min="4097" max="4097" width="4.7109375" style="1120" customWidth="1"/>
    <col min="4098" max="4098" width="45.7109375" style="1120" customWidth="1"/>
    <col min="4099" max="4099" width="8.7109375" style="1120" customWidth="1"/>
    <col min="4100" max="4100" width="9.28515625" style="1120" bestFit="1" customWidth="1"/>
    <col min="4101" max="4101" width="13.7109375" style="1120" customWidth="1"/>
    <col min="4102" max="4102" width="14.5703125" style="1120" customWidth="1"/>
    <col min="4103" max="4103" width="30.7109375" style="1120" customWidth="1"/>
    <col min="4104" max="4106" width="9.140625" style="1120"/>
    <col min="4107" max="4107" width="8.28515625" style="1120" customWidth="1"/>
    <col min="4108" max="4352" width="9.140625" style="1120"/>
    <col min="4353" max="4353" width="4.7109375" style="1120" customWidth="1"/>
    <col min="4354" max="4354" width="45.7109375" style="1120" customWidth="1"/>
    <col min="4355" max="4355" width="8.7109375" style="1120" customWidth="1"/>
    <col min="4356" max="4356" width="9.28515625" style="1120" bestFit="1" customWidth="1"/>
    <col min="4357" max="4357" width="13.7109375" style="1120" customWidth="1"/>
    <col min="4358" max="4358" width="14.5703125" style="1120" customWidth="1"/>
    <col min="4359" max="4359" width="30.7109375" style="1120" customWidth="1"/>
    <col min="4360" max="4362" width="9.140625" style="1120"/>
    <col min="4363" max="4363" width="8.28515625" style="1120" customWidth="1"/>
    <col min="4364" max="4608" width="9.140625" style="1120"/>
    <col min="4609" max="4609" width="4.7109375" style="1120" customWidth="1"/>
    <col min="4610" max="4610" width="45.7109375" style="1120" customWidth="1"/>
    <col min="4611" max="4611" width="8.7109375" style="1120" customWidth="1"/>
    <col min="4612" max="4612" width="9.28515625" style="1120" bestFit="1" customWidth="1"/>
    <col min="4613" max="4613" width="13.7109375" style="1120" customWidth="1"/>
    <col min="4614" max="4614" width="14.5703125" style="1120" customWidth="1"/>
    <col min="4615" max="4615" width="30.7109375" style="1120" customWidth="1"/>
    <col min="4616" max="4618" width="9.140625" style="1120"/>
    <col min="4619" max="4619" width="8.28515625" style="1120" customWidth="1"/>
    <col min="4620" max="4864" width="9.140625" style="1120"/>
    <col min="4865" max="4865" width="4.7109375" style="1120" customWidth="1"/>
    <col min="4866" max="4866" width="45.7109375" style="1120" customWidth="1"/>
    <col min="4867" max="4867" width="8.7109375" style="1120" customWidth="1"/>
    <col min="4868" max="4868" width="9.28515625" style="1120" bestFit="1" customWidth="1"/>
    <col min="4869" max="4869" width="13.7109375" style="1120" customWidth="1"/>
    <col min="4870" max="4870" width="14.5703125" style="1120" customWidth="1"/>
    <col min="4871" max="4871" width="30.7109375" style="1120" customWidth="1"/>
    <col min="4872" max="4874" width="9.140625" style="1120"/>
    <col min="4875" max="4875" width="8.28515625" style="1120" customWidth="1"/>
    <col min="4876" max="5120" width="9.140625" style="1120"/>
    <col min="5121" max="5121" width="4.7109375" style="1120" customWidth="1"/>
    <col min="5122" max="5122" width="45.7109375" style="1120" customWidth="1"/>
    <col min="5123" max="5123" width="8.7109375" style="1120" customWidth="1"/>
    <col min="5124" max="5124" width="9.28515625" style="1120" bestFit="1" customWidth="1"/>
    <col min="5125" max="5125" width="13.7109375" style="1120" customWidth="1"/>
    <col min="5126" max="5126" width="14.5703125" style="1120" customWidth="1"/>
    <col min="5127" max="5127" width="30.7109375" style="1120" customWidth="1"/>
    <col min="5128" max="5130" width="9.140625" style="1120"/>
    <col min="5131" max="5131" width="8.28515625" style="1120" customWidth="1"/>
    <col min="5132" max="5376" width="9.140625" style="1120"/>
    <col min="5377" max="5377" width="4.7109375" style="1120" customWidth="1"/>
    <col min="5378" max="5378" width="45.7109375" style="1120" customWidth="1"/>
    <col min="5379" max="5379" width="8.7109375" style="1120" customWidth="1"/>
    <col min="5380" max="5380" width="9.28515625" style="1120" bestFit="1" customWidth="1"/>
    <col min="5381" max="5381" width="13.7109375" style="1120" customWidth="1"/>
    <col min="5382" max="5382" width="14.5703125" style="1120" customWidth="1"/>
    <col min="5383" max="5383" width="30.7109375" style="1120" customWidth="1"/>
    <col min="5384" max="5386" width="9.140625" style="1120"/>
    <col min="5387" max="5387" width="8.28515625" style="1120" customWidth="1"/>
    <col min="5388" max="5632" width="9.140625" style="1120"/>
    <col min="5633" max="5633" width="4.7109375" style="1120" customWidth="1"/>
    <col min="5634" max="5634" width="45.7109375" style="1120" customWidth="1"/>
    <col min="5635" max="5635" width="8.7109375" style="1120" customWidth="1"/>
    <col min="5636" max="5636" width="9.28515625" style="1120" bestFit="1" customWidth="1"/>
    <col min="5637" max="5637" width="13.7109375" style="1120" customWidth="1"/>
    <col min="5638" max="5638" width="14.5703125" style="1120" customWidth="1"/>
    <col min="5639" max="5639" width="30.7109375" style="1120" customWidth="1"/>
    <col min="5640" max="5642" width="9.140625" style="1120"/>
    <col min="5643" max="5643" width="8.28515625" style="1120" customWidth="1"/>
    <col min="5644" max="5888" width="9.140625" style="1120"/>
    <col min="5889" max="5889" width="4.7109375" style="1120" customWidth="1"/>
    <col min="5890" max="5890" width="45.7109375" style="1120" customWidth="1"/>
    <col min="5891" max="5891" width="8.7109375" style="1120" customWidth="1"/>
    <col min="5892" max="5892" width="9.28515625" style="1120" bestFit="1" customWidth="1"/>
    <col min="5893" max="5893" width="13.7109375" style="1120" customWidth="1"/>
    <col min="5894" max="5894" width="14.5703125" style="1120" customWidth="1"/>
    <col min="5895" max="5895" width="30.7109375" style="1120" customWidth="1"/>
    <col min="5896" max="5898" width="9.140625" style="1120"/>
    <col min="5899" max="5899" width="8.28515625" style="1120" customWidth="1"/>
    <col min="5900" max="6144" width="9.140625" style="1120"/>
    <col min="6145" max="6145" width="4.7109375" style="1120" customWidth="1"/>
    <col min="6146" max="6146" width="45.7109375" style="1120" customWidth="1"/>
    <col min="6147" max="6147" width="8.7109375" style="1120" customWidth="1"/>
    <col min="6148" max="6148" width="9.28515625" style="1120" bestFit="1" customWidth="1"/>
    <col min="6149" max="6149" width="13.7109375" style="1120" customWidth="1"/>
    <col min="6150" max="6150" width="14.5703125" style="1120" customWidth="1"/>
    <col min="6151" max="6151" width="30.7109375" style="1120" customWidth="1"/>
    <col min="6152" max="6154" width="9.140625" style="1120"/>
    <col min="6155" max="6155" width="8.28515625" style="1120" customWidth="1"/>
    <col min="6156" max="6400" width="9.140625" style="1120"/>
    <col min="6401" max="6401" width="4.7109375" style="1120" customWidth="1"/>
    <col min="6402" max="6402" width="45.7109375" style="1120" customWidth="1"/>
    <col min="6403" max="6403" width="8.7109375" style="1120" customWidth="1"/>
    <col min="6404" max="6404" width="9.28515625" style="1120" bestFit="1" customWidth="1"/>
    <col min="6405" max="6405" width="13.7109375" style="1120" customWidth="1"/>
    <col min="6406" max="6406" width="14.5703125" style="1120" customWidth="1"/>
    <col min="6407" max="6407" width="30.7109375" style="1120" customWidth="1"/>
    <col min="6408" max="6410" width="9.140625" style="1120"/>
    <col min="6411" max="6411" width="8.28515625" style="1120" customWidth="1"/>
    <col min="6412" max="6656" width="9.140625" style="1120"/>
    <col min="6657" max="6657" width="4.7109375" style="1120" customWidth="1"/>
    <col min="6658" max="6658" width="45.7109375" style="1120" customWidth="1"/>
    <col min="6659" max="6659" width="8.7109375" style="1120" customWidth="1"/>
    <col min="6660" max="6660" width="9.28515625" style="1120" bestFit="1" customWidth="1"/>
    <col min="6661" max="6661" width="13.7109375" style="1120" customWidth="1"/>
    <col min="6662" max="6662" width="14.5703125" style="1120" customWidth="1"/>
    <col min="6663" max="6663" width="30.7109375" style="1120" customWidth="1"/>
    <col min="6664" max="6666" width="9.140625" style="1120"/>
    <col min="6667" max="6667" width="8.28515625" style="1120" customWidth="1"/>
    <col min="6668" max="6912" width="9.140625" style="1120"/>
    <col min="6913" max="6913" width="4.7109375" style="1120" customWidth="1"/>
    <col min="6914" max="6914" width="45.7109375" style="1120" customWidth="1"/>
    <col min="6915" max="6915" width="8.7109375" style="1120" customWidth="1"/>
    <col min="6916" max="6916" width="9.28515625" style="1120" bestFit="1" customWidth="1"/>
    <col min="6917" max="6917" width="13.7109375" style="1120" customWidth="1"/>
    <col min="6918" max="6918" width="14.5703125" style="1120" customWidth="1"/>
    <col min="6919" max="6919" width="30.7109375" style="1120" customWidth="1"/>
    <col min="6920" max="6922" width="9.140625" style="1120"/>
    <col min="6923" max="6923" width="8.28515625" style="1120" customWidth="1"/>
    <col min="6924" max="7168" width="9.140625" style="1120"/>
    <col min="7169" max="7169" width="4.7109375" style="1120" customWidth="1"/>
    <col min="7170" max="7170" width="45.7109375" style="1120" customWidth="1"/>
    <col min="7171" max="7171" width="8.7109375" style="1120" customWidth="1"/>
    <col min="7172" max="7172" width="9.28515625" style="1120" bestFit="1" customWidth="1"/>
    <col min="7173" max="7173" width="13.7109375" style="1120" customWidth="1"/>
    <col min="7174" max="7174" width="14.5703125" style="1120" customWidth="1"/>
    <col min="7175" max="7175" width="30.7109375" style="1120" customWidth="1"/>
    <col min="7176" max="7178" width="9.140625" style="1120"/>
    <col min="7179" max="7179" width="8.28515625" style="1120" customWidth="1"/>
    <col min="7180" max="7424" width="9.140625" style="1120"/>
    <col min="7425" max="7425" width="4.7109375" style="1120" customWidth="1"/>
    <col min="7426" max="7426" width="45.7109375" style="1120" customWidth="1"/>
    <col min="7427" max="7427" width="8.7109375" style="1120" customWidth="1"/>
    <col min="7428" max="7428" width="9.28515625" style="1120" bestFit="1" customWidth="1"/>
    <col min="7429" max="7429" width="13.7109375" style="1120" customWidth="1"/>
    <col min="7430" max="7430" width="14.5703125" style="1120" customWidth="1"/>
    <col min="7431" max="7431" width="30.7109375" style="1120" customWidth="1"/>
    <col min="7432" max="7434" width="9.140625" style="1120"/>
    <col min="7435" max="7435" width="8.28515625" style="1120" customWidth="1"/>
    <col min="7436" max="7680" width="9.140625" style="1120"/>
    <col min="7681" max="7681" width="4.7109375" style="1120" customWidth="1"/>
    <col min="7682" max="7682" width="45.7109375" style="1120" customWidth="1"/>
    <col min="7683" max="7683" width="8.7109375" style="1120" customWidth="1"/>
    <col min="7684" max="7684" width="9.28515625" style="1120" bestFit="1" customWidth="1"/>
    <col min="7685" max="7685" width="13.7109375" style="1120" customWidth="1"/>
    <col min="7686" max="7686" width="14.5703125" style="1120" customWidth="1"/>
    <col min="7687" max="7687" width="30.7109375" style="1120" customWidth="1"/>
    <col min="7688" max="7690" width="9.140625" style="1120"/>
    <col min="7691" max="7691" width="8.28515625" style="1120" customWidth="1"/>
    <col min="7692" max="7936" width="9.140625" style="1120"/>
    <col min="7937" max="7937" width="4.7109375" style="1120" customWidth="1"/>
    <col min="7938" max="7938" width="45.7109375" style="1120" customWidth="1"/>
    <col min="7939" max="7939" width="8.7109375" style="1120" customWidth="1"/>
    <col min="7940" max="7940" width="9.28515625" style="1120" bestFit="1" customWidth="1"/>
    <col min="7941" max="7941" width="13.7109375" style="1120" customWidth="1"/>
    <col min="7942" max="7942" width="14.5703125" style="1120" customWidth="1"/>
    <col min="7943" max="7943" width="30.7109375" style="1120" customWidth="1"/>
    <col min="7944" max="7946" width="9.140625" style="1120"/>
    <col min="7947" max="7947" width="8.28515625" style="1120" customWidth="1"/>
    <col min="7948" max="8192" width="9.140625" style="1120"/>
    <col min="8193" max="8193" width="4.7109375" style="1120" customWidth="1"/>
    <col min="8194" max="8194" width="45.7109375" style="1120" customWidth="1"/>
    <col min="8195" max="8195" width="8.7109375" style="1120" customWidth="1"/>
    <col min="8196" max="8196" width="9.28515625" style="1120" bestFit="1" customWidth="1"/>
    <col min="8197" max="8197" width="13.7109375" style="1120" customWidth="1"/>
    <col min="8198" max="8198" width="14.5703125" style="1120" customWidth="1"/>
    <col min="8199" max="8199" width="30.7109375" style="1120" customWidth="1"/>
    <col min="8200" max="8202" width="9.140625" style="1120"/>
    <col min="8203" max="8203" width="8.28515625" style="1120" customWidth="1"/>
    <col min="8204" max="8448" width="9.140625" style="1120"/>
    <col min="8449" max="8449" width="4.7109375" style="1120" customWidth="1"/>
    <col min="8450" max="8450" width="45.7109375" style="1120" customWidth="1"/>
    <col min="8451" max="8451" width="8.7109375" style="1120" customWidth="1"/>
    <col min="8452" max="8452" width="9.28515625" style="1120" bestFit="1" customWidth="1"/>
    <col min="8453" max="8453" width="13.7109375" style="1120" customWidth="1"/>
    <col min="8454" max="8454" width="14.5703125" style="1120" customWidth="1"/>
    <col min="8455" max="8455" width="30.7109375" style="1120" customWidth="1"/>
    <col min="8456" max="8458" width="9.140625" style="1120"/>
    <col min="8459" max="8459" width="8.28515625" style="1120" customWidth="1"/>
    <col min="8460" max="8704" width="9.140625" style="1120"/>
    <col min="8705" max="8705" width="4.7109375" style="1120" customWidth="1"/>
    <col min="8706" max="8706" width="45.7109375" style="1120" customWidth="1"/>
    <col min="8707" max="8707" width="8.7109375" style="1120" customWidth="1"/>
    <col min="8708" max="8708" width="9.28515625" style="1120" bestFit="1" customWidth="1"/>
    <col min="8709" max="8709" width="13.7109375" style="1120" customWidth="1"/>
    <col min="8710" max="8710" width="14.5703125" style="1120" customWidth="1"/>
    <col min="8711" max="8711" width="30.7109375" style="1120" customWidth="1"/>
    <col min="8712" max="8714" width="9.140625" style="1120"/>
    <col min="8715" max="8715" width="8.28515625" style="1120" customWidth="1"/>
    <col min="8716" max="8960" width="9.140625" style="1120"/>
    <col min="8961" max="8961" width="4.7109375" style="1120" customWidth="1"/>
    <col min="8962" max="8962" width="45.7109375" style="1120" customWidth="1"/>
    <col min="8963" max="8963" width="8.7109375" style="1120" customWidth="1"/>
    <col min="8964" max="8964" width="9.28515625" style="1120" bestFit="1" customWidth="1"/>
    <col min="8965" max="8965" width="13.7109375" style="1120" customWidth="1"/>
    <col min="8966" max="8966" width="14.5703125" style="1120" customWidth="1"/>
    <col min="8967" max="8967" width="30.7109375" style="1120" customWidth="1"/>
    <col min="8968" max="8970" width="9.140625" style="1120"/>
    <col min="8971" max="8971" width="8.28515625" style="1120" customWidth="1"/>
    <col min="8972" max="9216" width="9.140625" style="1120"/>
    <col min="9217" max="9217" width="4.7109375" style="1120" customWidth="1"/>
    <col min="9218" max="9218" width="45.7109375" style="1120" customWidth="1"/>
    <col min="9219" max="9219" width="8.7109375" style="1120" customWidth="1"/>
    <col min="9220" max="9220" width="9.28515625" style="1120" bestFit="1" customWidth="1"/>
    <col min="9221" max="9221" width="13.7109375" style="1120" customWidth="1"/>
    <col min="9222" max="9222" width="14.5703125" style="1120" customWidth="1"/>
    <col min="9223" max="9223" width="30.7109375" style="1120" customWidth="1"/>
    <col min="9224" max="9226" width="9.140625" style="1120"/>
    <col min="9227" max="9227" width="8.28515625" style="1120" customWidth="1"/>
    <col min="9228" max="9472" width="9.140625" style="1120"/>
    <col min="9473" max="9473" width="4.7109375" style="1120" customWidth="1"/>
    <col min="9474" max="9474" width="45.7109375" style="1120" customWidth="1"/>
    <col min="9475" max="9475" width="8.7109375" style="1120" customWidth="1"/>
    <col min="9476" max="9476" width="9.28515625" style="1120" bestFit="1" customWidth="1"/>
    <col min="9477" max="9477" width="13.7109375" style="1120" customWidth="1"/>
    <col min="9478" max="9478" width="14.5703125" style="1120" customWidth="1"/>
    <col min="9479" max="9479" width="30.7109375" style="1120" customWidth="1"/>
    <col min="9480" max="9482" width="9.140625" style="1120"/>
    <col min="9483" max="9483" width="8.28515625" style="1120" customWidth="1"/>
    <col min="9484" max="9728" width="9.140625" style="1120"/>
    <col min="9729" max="9729" width="4.7109375" style="1120" customWidth="1"/>
    <col min="9730" max="9730" width="45.7109375" style="1120" customWidth="1"/>
    <col min="9731" max="9731" width="8.7109375" style="1120" customWidth="1"/>
    <col min="9732" max="9732" width="9.28515625" style="1120" bestFit="1" customWidth="1"/>
    <col min="9733" max="9733" width="13.7109375" style="1120" customWidth="1"/>
    <col min="9734" max="9734" width="14.5703125" style="1120" customWidth="1"/>
    <col min="9735" max="9735" width="30.7109375" style="1120" customWidth="1"/>
    <col min="9736" max="9738" width="9.140625" style="1120"/>
    <col min="9739" max="9739" width="8.28515625" style="1120" customWidth="1"/>
    <col min="9740" max="9984" width="9.140625" style="1120"/>
    <col min="9985" max="9985" width="4.7109375" style="1120" customWidth="1"/>
    <col min="9986" max="9986" width="45.7109375" style="1120" customWidth="1"/>
    <col min="9987" max="9987" width="8.7109375" style="1120" customWidth="1"/>
    <col min="9988" max="9988" width="9.28515625" style="1120" bestFit="1" customWidth="1"/>
    <col min="9989" max="9989" width="13.7109375" style="1120" customWidth="1"/>
    <col min="9990" max="9990" width="14.5703125" style="1120" customWidth="1"/>
    <col min="9991" max="9991" width="30.7109375" style="1120" customWidth="1"/>
    <col min="9992" max="9994" width="9.140625" style="1120"/>
    <col min="9995" max="9995" width="8.28515625" style="1120" customWidth="1"/>
    <col min="9996" max="10240" width="9.140625" style="1120"/>
    <col min="10241" max="10241" width="4.7109375" style="1120" customWidth="1"/>
    <col min="10242" max="10242" width="45.7109375" style="1120" customWidth="1"/>
    <col min="10243" max="10243" width="8.7109375" style="1120" customWidth="1"/>
    <col min="10244" max="10244" width="9.28515625" style="1120" bestFit="1" customWidth="1"/>
    <col min="10245" max="10245" width="13.7109375" style="1120" customWidth="1"/>
    <col min="10246" max="10246" width="14.5703125" style="1120" customWidth="1"/>
    <col min="10247" max="10247" width="30.7109375" style="1120" customWidth="1"/>
    <col min="10248" max="10250" width="9.140625" style="1120"/>
    <col min="10251" max="10251" width="8.28515625" style="1120" customWidth="1"/>
    <col min="10252" max="10496" width="9.140625" style="1120"/>
    <col min="10497" max="10497" width="4.7109375" style="1120" customWidth="1"/>
    <col min="10498" max="10498" width="45.7109375" style="1120" customWidth="1"/>
    <col min="10499" max="10499" width="8.7109375" style="1120" customWidth="1"/>
    <col min="10500" max="10500" width="9.28515625" style="1120" bestFit="1" customWidth="1"/>
    <col min="10501" max="10501" width="13.7109375" style="1120" customWidth="1"/>
    <col min="10502" max="10502" width="14.5703125" style="1120" customWidth="1"/>
    <col min="10503" max="10503" width="30.7109375" style="1120" customWidth="1"/>
    <col min="10504" max="10506" width="9.140625" style="1120"/>
    <col min="10507" max="10507" width="8.28515625" style="1120" customWidth="1"/>
    <col min="10508" max="10752" width="9.140625" style="1120"/>
    <col min="10753" max="10753" width="4.7109375" style="1120" customWidth="1"/>
    <col min="10754" max="10754" width="45.7109375" style="1120" customWidth="1"/>
    <col min="10755" max="10755" width="8.7109375" style="1120" customWidth="1"/>
    <col min="10756" max="10756" width="9.28515625" style="1120" bestFit="1" customWidth="1"/>
    <col min="10757" max="10757" width="13.7109375" style="1120" customWidth="1"/>
    <col min="10758" max="10758" width="14.5703125" style="1120" customWidth="1"/>
    <col min="10759" max="10759" width="30.7109375" style="1120" customWidth="1"/>
    <col min="10760" max="10762" width="9.140625" style="1120"/>
    <col min="10763" max="10763" width="8.28515625" style="1120" customWidth="1"/>
    <col min="10764" max="11008" width="9.140625" style="1120"/>
    <col min="11009" max="11009" width="4.7109375" style="1120" customWidth="1"/>
    <col min="11010" max="11010" width="45.7109375" style="1120" customWidth="1"/>
    <col min="11011" max="11011" width="8.7109375" style="1120" customWidth="1"/>
    <col min="11012" max="11012" width="9.28515625" style="1120" bestFit="1" customWidth="1"/>
    <col min="11013" max="11013" width="13.7109375" style="1120" customWidth="1"/>
    <col min="11014" max="11014" width="14.5703125" style="1120" customWidth="1"/>
    <col min="11015" max="11015" width="30.7109375" style="1120" customWidth="1"/>
    <col min="11016" max="11018" width="9.140625" style="1120"/>
    <col min="11019" max="11019" width="8.28515625" style="1120" customWidth="1"/>
    <col min="11020" max="11264" width="9.140625" style="1120"/>
    <col min="11265" max="11265" width="4.7109375" style="1120" customWidth="1"/>
    <col min="11266" max="11266" width="45.7109375" style="1120" customWidth="1"/>
    <col min="11267" max="11267" width="8.7109375" style="1120" customWidth="1"/>
    <col min="11268" max="11268" width="9.28515625" style="1120" bestFit="1" customWidth="1"/>
    <col min="11269" max="11269" width="13.7109375" style="1120" customWidth="1"/>
    <col min="11270" max="11270" width="14.5703125" style="1120" customWidth="1"/>
    <col min="11271" max="11271" width="30.7109375" style="1120" customWidth="1"/>
    <col min="11272" max="11274" width="9.140625" style="1120"/>
    <col min="11275" max="11275" width="8.28515625" style="1120" customWidth="1"/>
    <col min="11276" max="11520" width="9.140625" style="1120"/>
    <col min="11521" max="11521" width="4.7109375" style="1120" customWidth="1"/>
    <col min="11522" max="11522" width="45.7109375" style="1120" customWidth="1"/>
    <col min="11523" max="11523" width="8.7109375" style="1120" customWidth="1"/>
    <col min="11524" max="11524" width="9.28515625" style="1120" bestFit="1" customWidth="1"/>
    <col min="11525" max="11525" width="13.7109375" style="1120" customWidth="1"/>
    <col min="11526" max="11526" width="14.5703125" style="1120" customWidth="1"/>
    <col min="11527" max="11527" width="30.7109375" style="1120" customWidth="1"/>
    <col min="11528" max="11530" width="9.140625" style="1120"/>
    <col min="11531" max="11531" width="8.28515625" style="1120" customWidth="1"/>
    <col min="11532" max="11776" width="9.140625" style="1120"/>
    <col min="11777" max="11777" width="4.7109375" style="1120" customWidth="1"/>
    <col min="11778" max="11778" width="45.7109375" style="1120" customWidth="1"/>
    <col min="11779" max="11779" width="8.7109375" style="1120" customWidth="1"/>
    <col min="11780" max="11780" width="9.28515625" style="1120" bestFit="1" customWidth="1"/>
    <col min="11781" max="11781" width="13.7109375" style="1120" customWidth="1"/>
    <col min="11782" max="11782" width="14.5703125" style="1120" customWidth="1"/>
    <col min="11783" max="11783" width="30.7109375" style="1120" customWidth="1"/>
    <col min="11784" max="11786" width="9.140625" style="1120"/>
    <col min="11787" max="11787" width="8.28515625" style="1120" customWidth="1"/>
    <col min="11788" max="12032" width="9.140625" style="1120"/>
    <col min="12033" max="12033" width="4.7109375" style="1120" customWidth="1"/>
    <col min="12034" max="12034" width="45.7109375" style="1120" customWidth="1"/>
    <col min="12035" max="12035" width="8.7109375" style="1120" customWidth="1"/>
    <col min="12036" max="12036" width="9.28515625" style="1120" bestFit="1" customWidth="1"/>
    <col min="12037" max="12037" width="13.7109375" style="1120" customWidth="1"/>
    <col min="12038" max="12038" width="14.5703125" style="1120" customWidth="1"/>
    <col min="12039" max="12039" width="30.7109375" style="1120" customWidth="1"/>
    <col min="12040" max="12042" width="9.140625" style="1120"/>
    <col min="12043" max="12043" width="8.28515625" style="1120" customWidth="1"/>
    <col min="12044" max="12288" width="9.140625" style="1120"/>
    <col min="12289" max="12289" width="4.7109375" style="1120" customWidth="1"/>
    <col min="12290" max="12290" width="45.7109375" style="1120" customWidth="1"/>
    <col min="12291" max="12291" width="8.7109375" style="1120" customWidth="1"/>
    <col min="12292" max="12292" width="9.28515625" style="1120" bestFit="1" customWidth="1"/>
    <col min="12293" max="12293" width="13.7109375" style="1120" customWidth="1"/>
    <col min="12294" max="12294" width="14.5703125" style="1120" customWidth="1"/>
    <col min="12295" max="12295" width="30.7109375" style="1120" customWidth="1"/>
    <col min="12296" max="12298" width="9.140625" style="1120"/>
    <col min="12299" max="12299" width="8.28515625" style="1120" customWidth="1"/>
    <col min="12300" max="12544" width="9.140625" style="1120"/>
    <col min="12545" max="12545" width="4.7109375" style="1120" customWidth="1"/>
    <col min="12546" max="12546" width="45.7109375" style="1120" customWidth="1"/>
    <col min="12547" max="12547" width="8.7109375" style="1120" customWidth="1"/>
    <col min="12548" max="12548" width="9.28515625" style="1120" bestFit="1" customWidth="1"/>
    <col min="12549" max="12549" width="13.7109375" style="1120" customWidth="1"/>
    <col min="12550" max="12550" width="14.5703125" style="1120" customWidth="1"/>
    <col min="12551" max="12551" width="30.7109375" style="1120" customWidth="1"/>
    <col min="12552" max="12554" width="9.140625" style="1120"/>
    <col min="12555" max="12555" width="8.28515625" style="1120" customWidth="1"/>
    <col min="12556" max="12800" width="9.140625" style="1120"/>
    <col min="12801" max="12801" width="4.7109375" style="1120" customWidth="1"/>
    <col min="12802" max="12802" width="45.7109375" style="1120" customWidth="1"/>
    <col min="12803" max="12803" width="8.7109375" style="1120" customWidth="1"/>
    <col min="12804" max="12804" width="9.28515625" style="1120" bestFit="1" customWidth="1"/>
    <col min="12805" max="12805" width="13.7109375" style="1120" customWidth="1"/>
    <col min="12806" max="12806" width="14.5703125" style="1120" customWidth="1"/>
    <col min="12807" max="12807" width="30.7109375" style="1120" customWidth="1"/>
    <col min="12808" max="12810" width="9.140625" style="1120"/>
    <col min="12811" max="12811" width="8.28515625" style="1120" customWidth="1"/>
    <col min="12812" max="13056" width="9.140625" style="1120"/>
    <col min="13057" max="13057" width="4.7109375" style="1120" customWidth="1"/>
    <col min="13058" max="13058" width="45.7109375" style="1120" customWidth="1"/>
    <col min="13059" max="13059" width="8.7109375" style="1120" customWidth="1"/>
    <col min="13060" max="13060" width="9.28515625" style="1120" bestFit="1" customWidth="1"/>
    <col min="13061" max="13061" width="13.7109375" style="1120" customWidth="1"/>
    <col min="13062" max="13062" width="14.5703125" style="1120" customWidth="1"/>
    <col min="13063" max="13063" width="30.7109375" style="1120" customWidth="1"/>
    <col min="13064" max="13066" width="9.140625" style="1120"/>
    <col min="13067" max="13067" width="8.28515625" style="1120" customWidth="1"/>
    <col min="13068" max="13312" width="9.140625" style="1120"/>
    <col min="13313" max="13313" width="4.7109375" style="1120" customWidth="1"/>
    <col min="13314" max="13314" width="45.7109375" style="1120" customWidth="1"/>
    <col min="13315" max="13315" width="8.7109375" style="1120" customWidth="1"/>
    <col min="13316" max="13316" width="9.28515625" style="1120" bestFit="1" customWidth="1"/>
    <col min="13317" max="13317" width="13.7109375" style="1120" customWidth="1"/>
    <col min="13318" max="13318" width="14.5703125" style="1120" customWidth="1"/>
    <col min="13319" max="13319" width="30.7109375" style="1120" customWidth="1"/>
    <col min="13320" max="13322" width="9.140625" style="1120"/>
    <col min="13323" max="13323" width="8.28515625" style="1120" customWidth="1"/>
    <col min="13324" max="13568" width="9.140625" style="1120"/>
    <col min="13569" max="13569" width="4.7109375" style="1120" customWidth="1"/>
    <col min="13570" max="13570" width="45.7109375" style="1120" customWidth="1"/>
    <col min="13571" max="13571" width="8.7109375" style="1120" customWidth="1"/>
    <col min="13572" max="13572" width="9.28515625" style="1120" bestFit="1" customWidth="1"/>
    <col min="13573" max="13573" width="13.7109375" style="1120" customWidth="1"/>
    <col min="13574" max="13574" width="14.5703125" style="1120" customWidth="1"/>
    <col min="13575" max="13575" width="30.7109375" style="1120" customWidth="1"/>
    <col min="13576" max="13578" width="9.140625" style="1120"/>
    <col min="13579" max="13579" width="8.28515625" style="1120" customWidth="1"/>
    <col min="13580" max="13824" width="9.140625" style="1120"/>
    <col min="13825" max="13825" width="4.7109375" style="1120" customWidth="1"/>
    <col min="13826" max="13826" width="45.7109375" style="1120" customWidth="1"/>
    <col min="13827" max="13827" width="8.7109375" style="1120" customWidth="1"/>
    <col min="13828" max="13828" width="9.28515625" style="1120" bestFit="1" customWidth="1"/>
    <col min="13829" max="13829" width="13.7109375" style="1120" customWidth="1"/>
    <col min="13830" max="13830" width="14.5703125" style="1120" customWidth="1"/>
    <col min="13831" max="13831" width="30.7109375" style="1120" customWidth="1"/>
    <col min="13832" max="13834" width="9.140625" style="1120"/>
    <col min="13835" max="13835" width="8.28515625" style="1120" customWidth="1"/>
    <col min="13836" max="14080" width="9.140625" style="1120"/>
    <col min="14081" max="14081" width="4.7109375" style="1120" customWidth="1"/>
    <col min="14082" max="14082" width="45.7109375" style="1120" customWidth="1"/>
    <col min="14083" max="14083" width="8.7109375" style="1120" customWidth="1"/>
    <col min="14084" max="14084" width="9.28515625" style="1120" bestFit="1" customWidth="1"/>
    <col min="14085" max="14085" width="13.7109375" style="1120" customWidth="1"/>
    <col min="14086" max="14086" width="14.5703125" style="1120" customWidth="1"/>
    <col min="14087" max="14087" width="30.7109375" style="1120" customWidth="1"/>
    <col min="14088" max="14090" width="9.140625" style="1120"/>
    <col min="14091" max="14091" width="8.28515625" style="1120" customWidth="1"/>
    <col min="14092" max="14336" width="9.140625" style="1120"/>
    <col min="14337" max="14337" width="4.7109375" style="1120" customWidth="1"/>
    <col min="14338" max="14338" width="45.7109375" style="1120" customWidth="1"/>
    <col min="14339" max="14339" width="8.7109375" style="1120" customWidth="1"/>
    <col min="14340" max="14340" width="9.28515625" style="1120" bestFit="1" customWidth="1"/>
    <col min="14341" max="14341" width="13.7109375" style="1120" customWidth="1"/>
    <col min="14342" max="14342" width="14.5703125" style="1120" customWidth="1"/>
    <col min="14343" max="14343" width="30.7109375" style="1120" customWidth="1"/>
    <col min="14344" max="14346" width="9.140625" style="1120"/>
    <col min="14347" max="14347" width="8.28515625" style="1120" customWidth="1"/>
    <col min="14348" max="14592" width="9.140625" style="1120"/>
    <col min="14593" max="14593" width="4.7109375" style="1120" customWidth="1"/>
    <col min="14594" max="14594" width="45.7109375" style="1120" customWidth="1"/>
    <col min="14595" max="14595" width="8.7109375" style="1120" customWidth="1"/>
    <col min="14596" max="14596" width="9.28515625" style="1120" bestFit="1" customWidth="1"/>
    <col min="14597" max="14597" width="13.7109375" style="1120" customWidth="1"/>
    <col min="14598" max="14598" width="14.5703125" style="1120" customWidth="1"/>
    <col min="14599" max="14599" width="30.7109375" style="1120" customWidth="1"/>
    <col min="14600" max="14602" width="9.140625" style="1120"/>
    <col min="14603" max="14603" width="8.28515625" style="1120" customWidth="1"/>
    <col min="14604" max="14848" width="9.140625" style="1120"/>
    <col min="14849" max="14849" width="4.7109375" style="1120" customWidth="1"/>
    <col min="14850" max="14850" width="45.7109375" style="1120" customWidth="1"/>
    <col min="14851" max="14851" width="8.7109375" style="1120" customWidth="1"/>
    <col min="14852" max="14852" width="9.28515625" style="1120" bestFit="1" customWidth="1"/>
    <col min="14853" max="14853" width="13.7109375" style="1120" customWidth="1"/>
    <col min="14854" max="14854" width="14.5703125" style="1120" customWidth="1"/>
    <col min="14855" max="14855" width="30.7109375" style="1120" customWidth="1"/>
    <col min="14856" max="14858" width="9.140625" style="1120"/>
    <col min="14859" max="14859" width="8.28515625" style="1120" customWidth="1"/>
    <col min="14860" max="15104" width="9.140625" style="1120"/>
    <col min="15105" max="15105" width="4.7109375" style="1120" customWidth="1"/>
    <col min="15106" max="15106" width="45.7109375" style="1120" customWidth="1"/>
    <col min="15107" max="15107" width="8.7109375" style="1120" customWidth="1"/>
    <col min="15108" max="15108" width="9.28515625" style="1120" bestFit="1" customWidth="1"/>
    <col min="15109" max="15109" width="13.7109375" style="1120" customWidth="1"/>
    <col min="15110" max="15110" width="14.5703125" style="1120" customWidth="1"/>
    <col min="15111" max="15111" width="30.7109375" style="1120" customWidth="1"/>
    <col min="15112" max="15114" width="9.140625" style="1120"/>
    <col min="15115" max="15115" width="8.28515625" style="1120" customWidth="1"/>
    <col min="15116" max="15360" width="9.140625" style="1120"/>
    <col min="15361" max="15361" width="4.7109375" style="1120" customWidth="1"/>
    <col min="15362" max="15362" width="45.7109375" style="1120" customWidth="1"/>
    <col min="15363" max="15363" width="8.7109375" style="1120" customWidth="1"/>
    <col min="15364" max="15364" width="9.28515625" style="1120" bestFit="1" customWidth="1"/>
    <col min="15365" max="15365" width="13.7109375" style="1120" customWidth="1"/>
    <col min="15366" max="15366" width="14.5703125" style="1120" customWidth="1"/>
    <col min="15367" max="15367" width="30.7109375" style="1120" customWidth="1"/>
    <col min="15368" max="15370" width="9.140625" style="1120"/>
    <col min="15371" max="15371" width="8.28515625" style="1120" customWidth="1"/>
    <col min="15372" max="15616" width="9.140625" style="1120"/>
    <col min="15617" max="15617" width="4.7109375" style="1120" customWidth="1"/>
    <col min="15618" max="15618" width="45.7109375" style="1120" customWidth="1"/>
    <col min="15619" max="15619" width="8.7109375" style="1120" customWidth="1"/>
    <col min="15620" max="15620" width="9.28515625" style="1120" bestFit="1" customWidth="1"/>
    <col min="15621" max="15621" width="13.7109375" style="1120" customWidth="1"/>
    <col min="15622" max="15622" width="14.5703125" style="1120" customWidth="1"/>
    <col min="15623" max="15623" width="30.7109375" style="1120" customWidth="1"/>
    <col min="15624" max="15626" width="9.140625" style="1120"/>
    <col min="15627" max="15627" width="8.28515625" style="1120" customWidth="1"/>
    <col min="15628" max="15872" width="9.140625" style="1120"/>
    <col min="15873" max="15873" width="4.7109375" style="1120" customWidth="1"/>
    <col min="15874" max="15874" width="45.7109375" style="1120" customWidth="1"/>
    <col min="15875" max="15875" width="8.7109375" style="1120" customWidth="1"/>
    <col min="15876" max="15876" width="9.28515625" style="1120" bestFit="1" customWidth="1"/>
    <col min="15877" max="15877" width="13.7109375" style="1120" customWidth="1"/>
    <col min="15878" max="15878" width="14.5703125" style="1120" customWidth="1"/>
    <col min="15879" max="15879" width="30.7109375" style="1120" customWidth="1"/>
    <col min="15880" max="15882" width="9.140625" style="1120"/>
    <col min="15883" max="15883" width="8.28515625" style="1120" customWidth="1"/>
    <col min="15884" max="16128" width="9.140625" style="1120"/>
    <col min="16129" max="16129" width="4.7109375" style="1120" customWidth="1"/>
    <col min="16130" max="16130" width="45.7109375" style="1120" customWidth="1"/>
    <col min="16131" max="16131" width="8.7109375" style="1120" customWidth="1"/>
    <col min="16132" max="16132" width="9.28515625" style="1120" bestFit="1" customWidth="1"/>
    <col min="16133" max="16133" width="13.7109375" style="1120" customWidth="1"/>
    <col min="16134" max="16134" width="14.5703125" style="1120" customWidth="1"/>
    <col min="16135" max="16135" width="30.7109375" style="1120" customWidth="1"/>
    <col min="16136" max="16138" width="9.140625" style="1120"/>
    <col min="16139" max="16139" width="8.28515625" style="1120" customWidth="1"/>
    <col min="16140" max="16384" width="9.140625" style="1120"/>
  </cols>
  <sheetData>
    <row r="1" spans="1:6" s="1105" customFormat="1" ht="18">
      <c r="A1" s="1099" t="s">
        <v>1449</v>
      </c>
      <c r="B1" s="1100" t="s">
        <v>1450</v>
      </c>
      <c r="C1" s="1101"/>
      <c r="D1" s="1102"/>
      <c r="E1" s="1103"/>
      <c r="F1" s="1104"/>
    </row>
    <row r="2" spans="1:6" s="1105" customFormat="1" ht="15">
      <c r="A2" s="1106"/>
      <c r="B2" s="1107"/>
      <c r="C2" s="1101"/>
      <c r="D2" s="1102"/>
      <c r="E2" s="1103"/>
      <c r="F2" s="1104"/>
    </row>
    <row r="3" spans="1:6" s="1105" customFormat="1" ht="15">
      <c r="A3" s="1106" t="s">
        <v>1451</v>
      </c>
      <c r="B3" s="1107" t="s">
        <v>1452</v>
      </c>
      <c r="C3" s="1101"/>
      <c r="D3" s="1102"/>
      <c r="E3" s="1103"/>
      <c r="F3" s="1104"/>
    </row>
    <row r="4" spans="1:6" s="1113" customFormat="1" ht="36">
      <c r="A4" s="1108" t="s">
        <v>210</v>
      </c>
      <c r="B4" s="1109" t="s">
        <v>211</v>
      </c>
      <c r="C4" s="1108" t="s">
        <v>212</v>
      </c>
      <c r="D4" s="1110" t="s">
        <v>213</v>
      </c>
      <c r="E4" s="1111" t="s">
        <v>214</v>
      </c>
      <c r="F4" s="1112" t="s">
        <v>1598</v>
      </c>
    </row>
    <row r="5" spans="1:6">
      <c r="A5" s="1114" t="s">
        <v>20</v>
      </c>
      <c r="B5" s="1115" t="s">
        <v>1453</v>
      </c>
      <c r="C5" s="1116" t="s">
        <v>10</v>
      </c>
      <c r="D5" s="1117">
        <v>1</v>
      </c>
      <c r="E5" s="1097"/>
      <c r="F5" s="1119">
        <f t="shared" ref="F5:F10" si="0">D5*E5</f>
        <v>0</v>
      </c>
    </row>
    <row r="6" spans="1:6" ht="60">
      <c r="A6" s="1114" t="s">
        <v>41</v>
      </c>
      <c r="B6" s="1115" t="s">
        <v>1454</v>
      </c>
      <c r="C6" s="1116" t="s">
        <v>10</v>
      </c>
      <c r="D6" s="1117">
        <v>1</v>
      </c>
      <c r="E6" s="1097"/>
      <c r="F6" s="1119">
        <f t="shared" si="0"/>
        <v>0</v>
      </c>
    </row>
    <row r="7" spans="1:6" ht="72">
      <c r="A7" s="1114" t="s">
        <v>49</v>
      </c>
      <c r="B7" s="1115" t="s">
        <v>1455</v>
      </c>
      <c r="C7" s="1116" t="s">
        <v>217</v>
      </c>
      <c r="D7" s="1117">
        <v>60</v>
      </c>
      <c r="E7" s="1097"/>
      <c r="F7" s="1119">
        <f t="shared" si="0"/>
        <v>0</v>
      </c>
    </row>
    <row r="8" spans="1:6" ht="24">
      <c r="A8" s="1114" t="s">
        <v>1456</v>
      </c>
      <c r="B8" s="1115" t="s">
        <v>1457</v>
      </c>
      <c r="C8" s="1116" t="s">
        <v>40</v>
      </c>
      <c r="D8" s="1117">
        <v>5</v>
      </c>
      <c r="E8" s="1097"/>
      <c r="F8" s="1119">
        <f t="shared" si="0"/>
        <v>0</v>
      </c>
    </row>
    <row r="9" spans="1:6">
      <c r="A9" s="1114" t="s">
        <v>51</v>
      </c>
      <c r="B9" s="1115" t="s">
        <v>1458</v>
      </c>
      <c r="C9" s="1116" t="s">
        <v>11</v>
      </c>
      <c r="D9" s="1117">
        <v>60</v>
      </c>
      <c r="E9" s="1097"/>
      <c r="F9" s="1119">
        <f t="shared" si="0"/>
        <v>0</v>
      </c>
    </row>
    <row r="10" spans="1:6" ht="24">
      <c r="A10" s="1114" t="s">
        <v>52</v>
      </c>
      <c r="B10" s="1115" t="s">
        <v>1459</v>
      </c>
      <c r="C10" s="1116" t="s">
        <v>72</v>
      </c>
      <c r="D10" s="1117">
        <v>1</v>
      </c>
      <c r="E10" s="1097"/>
      <c r="F10" s="1119">
        <f t="shared" si="0"/>
        <v>0</v>
      </c>
    </row>
    <row r="11" spans="1:6">
      <c r="A11" s="1114"/>
      <c r="B11" s="1115"/>
      <c r="E11" s="1118"/>
      <c r="F11" s="1119"/>
    </row>
    <row r="12" spans="1:6" s="1105" customFormat="1" ht="15">
      <c r="A12" s="1106" t="s">
        <v>1460</v>
      </c>
      <c r="B12" s="1107" t="s">
        <v>1461</v>
      </c>
      <c r="C12" s="1101"/>
      <c r="D12" s="1102"/>
      <c r="E12" s="1103"/>
      <c r="F12" s="1104"/>
    </row>
    <row r="13" spans="1:6" s="1113" customFormat="1" ht="15">
      <c r="A13" s="1108" t="s">
        <v>210</v>
      </c>
      <c r="B13" s="1109" t="s">
        <v>211</v>
      </c>
      <c r="C13" s="1108" t="s">
        <v>212</v>
      </c>
      <c r="D13" s="1110" t="s">
        <v>213</v>
      </c>
      <c r="E13" s="1111" t="s">
        <v>214</v>
      </c>
      <c r="F13" s="1121" t="s">
        <v>215</v>
      </c>
    </row>
    <row r="14" spans="1:6" ht="25.5">
      <c r="A14" s="1114" t="s">
        <v>20</v>
      </c>
      <c r="B14" s="1115" t="s">
        <v>1462</v>
      </c>
      <c r="C14" s="1116" t="s">
        <v>217</v>
      </c>
      <c r="D14" s="1117">
        <v>75</v>
      </c>
      <c r="E14" s="1097"/>
      <c r="F14" s="1119">
        <f>D14*E14</f>
        <v>0</v>
      </c>
    </row>
    <row r="15" spans="1:6" ht="36">
      <c r="A15" s="1114" t="s">
        <v>41</v>
      </c>
      <c r="B15" s="1115" t="s">
        <v>1463</v>
      </c>
      <c r="C15" s="1116" t="s">
        <v>10</v>
      </c>
      <c r="D15" s="1117">
        <v>2</v>
      </c>
      <c r="E15" s="1097"/>
      <c r="F15" s="1119">
        <f>D15*E15</f>
        <v>0</v>
      </c>
    </row>
    <row r="16" spans="1:6">
      <c r="A16" s="1114" t="s">
        <v>49</v>
      </c>
      <c r="B16" s="1115" t="s">
        <v>1464</v>
      </c>
      <c r="C16" s="1116" t="s">
        <v>10</v>
      </c>
      <c r="D16" s="1117">
        <v>8</v>
      </c>
      <c r="E16" s="1097"/>
      <c r="F16" s="1119">
        <f>D16*E16</f>
        <v>0</v>
      </c>
    </row>
    <row r="17" spans="1:6" ht="37.5">
      <c r="A17" s="1114" t="s">
        <v>50</v>
      </c>
      <c r="B17" s="1115" t="s">
        <v>1465</v>
      </c>
      <c r="C17" s="1116" t="s">
        <v>72</v>
      </c>
      <c r="D17" s="1117">
        <v>1</v>
      </c>
      <c r="E17" s="1097"/>
      <c r="F17" s="1119">
        <f>D17*E17</f>
        <v>0</v>
      </c>
    </row>
    <row r="18" spans="1:6" ht="48">
      <c r="A18" s="1114" t="s">
        <v>52</v>
      </c>
      <c r="B18" s="1115" t="s">
        <v>1673</v>
      </c>
      <c r="C18" s="1116" t="s">
        <v>72</v>
      </c>
      <c r="D18" s="1117">
        <v>1</v>
      </c>
      <c r="E18" s="1097"/>
      <c r="F18" s="1119">
        <f>D18*E18</f>
        <v>0</v>
      </c>
    </row>
    <row r="19" spans="1:6">
      <c r="A19" s="1114"/>
      <c r="B19" s="1115" t="s">
        <v>1466</v>
      </c>
      <c r="E19" s="1118"/>
      <c r="F19" s="1119"/>
    </row>
    <row r="20" spans="1:6">
      <c r="A20" s="1114"/>
      <c r="B20" s="1115" t="s">
        <v>1467</v>
      </c>
      <c r="E20" s="1118"/>
      <c r="F20" s="1119"/>
    </row>
    <row r="21" spans="1:6">
      <c r="A21" s="1114"/>
      <c r="B21" s="1115" t="s">
        <v>1468</v>
      </c>
      <c r="E21" s="1118"/>
      <c r="F21" s="1119"/>
    </row>
    <row r="22" spans="1:6">
      <c r="A22" s="1114"/>
      <c r="B22" s="1122" t="s">
        <v>1469</v>
      </c>
      <c r="E22" s="1118"/>
      <c r="F22" s="1119"/>
    </row>
    <row r="23" spans="1:6">
      <c r="A23" s="1114"/>
      <c r="B23" s="1122" t="s">
        <v>1470</v>
      </c>
      <c r="E23" s="1118"/>
      <c r="F23" s="1119"/>
    </row>
    <row r="24" spans="1:6">
      <c r="A24" s="1114"/>
      <c r="B24" s="1122" t="s">
        <v>1471</v>
      </c>
      <c r="E24" s="1118"/>
      <c r="F24" s="1119"/>
    </row>
    <row r="25" spans="1:6">
      <c r="A25" s="1114"/>
      <c r="B25" s="1115" t="s">
        <v>1472</v>
      </c>
      <c r="E25" s="1118"/>
      <c r="F25" s="1119"/>
    </row>
    <row r="26" spans="1:6" ht="25.5">
      <c r="A26" s="1114"/>
      <c r="B26" s="1115" t="s">
        <v>1473</v>
      </c>
      <c r="E26" s="1118"/>
      <c r="F26" s="1119"/>
    </row>
    <row r="27" spans="1:6">
      <c r="A27" s="1114"/>
      <c r="B27" s="1122" t="s">
        <v>1474</v>
      </c>
      <c r="E27" s="1118"/>
      <c r="F27" s="1119"/>
    </row>
    <row r="28" spans="1:6">
      <c r="A28" s="1114"/>
      <c r="B28" s="1115" t="s">
        <v>1475</v>
      </c>
      <c r="E28" s="1118"/>
      <c r="F28" s="1119"/>
    </row>
    <row r="29" spans="1:6">
      <c r="A29" s="1114"/>
      <c r="B29" s="1115" t="s">
        <v>1476</v>
      </c>
      <c r="E29" s="1118"/>
      <c r="F29" s="1119"/>
    </row>
    <row r="30" spans="1:6" ht="25.5">
      <c r="A30" s="1114"/>
      <c r="B30" s="1115" t="s">
        <v>1477</v>
      </c>
      <c r="E30" s="1118"/>
      <c r="F30" s="1119"/>
    </row>
    <row r="31" spans="1:6" ht="25.5">
      <c r="A31" s="1114"/>
      <c r="B31" s="1115" t="s">
        <v>1478</v>
      </c>
      <c r="E31" s="1118"/>
      <c r="F31" s="1119"/>
    </row>
    <row r="32" spans="1:6">
      <c r="A32" s="1114"/>
      <c r="B32" s="1115" t="s">
        <v>1479</v>
      </c>
      <c r="E32" s="1118"/>
      <c r="F32" s="1119"/>
    </row>
    <row r="33" spans="1:6">
      <c r="A33" s="1114"/>
      <c r="B33" s="1122" t="s">
        <v>1480</v>
      </c>
      <c r="E33" s="1118"/>
      <c r="F33" s="1119"/>
    </row>
    <row r="34" spans="1:6" ht="25.5">
      <c r="A34" s="1114"/>
      <c r="B34" s="1115" t="s">
        <v>1481</v>
      </c>
      <c r="E34" s="1118"/>
      <c r="F34" s="1119"/>
    </row>
    <row r="35" spans="1:6">
      <c r="A35" s="1114"/>
      <c r="B35" s="1115"/>
      <c r="E35" s="1118"/>
      <c r="F35" s="1119"/>
    </row>
    <row r="36" spans="1:6">
      <c r="A36" s="1114"/>
      <c r="B36" s="1115"/>
      <c r="E36" s="1118"/>
      <c r="F36" s="1119"/>
    </row>
    <row r="37" spans="1:6">
      <c r="A37" s="1114" t="s">
        <v>53</v>
      </c>
      <c r="B37" s="1115" t="s">
        <v>1482</v>
      </c>
      <c r="E37" s="1118"/>
      <c r="F37" s="1119"/>
    </row>
    <row r="38" spans="1:6" ht="38.25">
      <c r="A38" s="1114"/>
      <c r="B38" s="1115" t="s">
        <v>1674</v>
      </c>
      <c r="C38" s="1116" t="s">
        <v>10</v>
      </c>
      <c r="D38" s="1117">
        <v>1</v>
      </c>
      <c r="E38" s="1097"/>
      <c r="F38" s="1119">
        <f>D38*E38</f>
        <v>0</v>
      </c>
    </row>
    <row r="39" spans="1:6">
      <c r="A39" s="1114" t="s">
        <v>53</v>
      </c>
      <c r="B39" s="1115" t="s">
        <v>1483</v>
      </c>
      <c r="C39" s="1116" t="s">
        <v>217</v>
      </c>
      <c r="D39" s="1117">
        <v>80</v>
      </c>
      <c r="E39" s="1097"/>
      <c r="F39" s="1119">
        <f>D39*E39</f>
        <v>0</v>
      </c>
    </row>
    <row r="40" spans="1:6" ht="36">
      <c r="A40" s="1114" t="s">
        <v>61</v>
      </c>
      <c r="B40" s="1115" t="s">
        <v>1484</v>
      </c>
      <c r="C40" s="1116" t="s">
        <v>72</v>
      </c>
      <c r="D40" s="1117">
        <v>1</v>
      </c>
      <c r="E40" s="1097"/>
      <c r="F40" s="1119">
        <f>D40*E40</f>
        <v>0</v>
      </c>
    </row>
    <row r="41" spans="1:6" ht="24">
      <c r="A41" s="1114" t="s">
        <v>62</v>
      </c>
      <c r="B41" s="1115" t="s">
        <v>1485</v>
      </c>
      <c r="C41" s="1116" t="s">
        <v>10</v>
      </c>
      <c r="D41" s="1117">
        <v>5</v>
      </c>
      <c r="E41" s="1097"/>
      <c r="F41" s="1119">
        <f>D41*E41</f>
        <v>0</v>
      </c>
    </row>
    <row r="42" spans="1:6">
      <c r="A42" s="1114"/>
      <c r="B42" s="1115"/>
      <c r="E42" s="1118"/>
      <c r="F42" s="1119"/>
    </row>
    <row r="43" spans="1:6" s="1105" customFormat="1" ht="15">
      <c r="A43" s="1106" t="s">
        <v>1486</v>
      </c>
      <c r="B43" s="1107" t="s">
        <v>1487</v>
      </c>
      <c r="C43" s="1101"/>
      <c r="D43" s="1102"/>
      <c r="E43" s="1103"/>
      <c r="F43" s="1104"/>
    </row>
    <row r="44" spans="1:6" s="1113" customFormat="1" ht="15">
      <c r="A44" s="1108" t="s">
        <v>210</v>
      </c>
      <c r="B44" s="1109" t="s">
        <v>211</v>
      </c>
      <c r="C44" s="1108" t="s">
        <v>212</v>
      </c>
      <c r="D44" s="1110" t="s">
        <v>213</v>
      </c>
      <c r="E44" s="1111" t="s">
        <v>214</v>
      </c>
      <c r="F44" s="1121" t="s">
        <v>215</v>
      </c>
    </row>
    <row r="45" spans="1:6" ht="24">
      <c r="A45" s="1114" t="s">
        <v>20</v>
      </c>
      <c r="B45" s="1115" t="s">
        <v>1488</v>
      </c>
      <c r="C45" s="1116" t="s">
        <v>72</v>
      </c>
      <c r="D45" s="1117">
        <v>1</v>
      </c>
      <c r="E45" s="1097"/>
      <c r="F45" s="1119">
        <f>D45*E45</f>
        <v>0</v>
      </c>
    </row>
    <row r="46" spans="1:6">
      <c r="A46" s="1114" t="s">
        <v>41</v>
      </c>
      <c r="B46" s="1115" t="s">
        <v>1489</v>
      </c>
      <c r="C46" s="1116" t="s">
        <v>72</v>
      </c>
      <c r="D46" s="1117">
        <v>1</v>
      </c>
      <c r="E46" s="1097"/>
      <c r="F46" s="1119">
        <f>D46*E46</f>
        <v>0</v>
      </c>
    </row>
    <row r="47" spans="1:6" ht="48.75" thickBot="1">
      <c r="A47" s="1123" t="s">
        <v>49</v>
      </c>
      <c r="B47" s="1124" t="s">
        <v>1490</v>
      </c>
      <c r="C47" s="1125" t="s">
        <v>1491</v>
      </c>
      <c r="D47" s="1126">
        <v>10</v>
      </c>
      <c r="E47" s="1098"/>
      <c r="F47" s="1127">
        <f>E47*0.1</f>
        <v>0</v>
      </c>
    </row>
    <row r="48" spans="1:6" ht="16.5" thickTop="1">
      <c r="A48" s="1128"/>
      <c r="B48" s="1129"/>
      <c r="C48" s="1130"/>
      <c r="D48" s="1131"/>
      <c r="E48" s="1132"/>
      <c r="F48" s="1133"/>
    </row>
    <row r="49" spans="1:6" s="1140" customFormat="1">
      <c r="A49" s="1134"/>
      <c r="B49" s="1135" t="s">
        <v>1492</v>
      </c>
      <c r="C49" s="1136" t="s">
        <v>101</v>
      </c>
      <c r="D49" s="1137"/>
      <c r="E49" s="1138"/>
      <c r="F49" s="1139">
        <f>SUM(F5:F47)</f>
        <v>0</v>
      </c>
    </row>
  </sheetData>
  <sheetProtection algorithmName="SHA-512" hashValue="Dajy+5LZ3J5OJCpNRzygGUPNmb1T8MmcLgudejZiiF2d3vrsbAfv4ysN9zV6NmB975UMFO3Hl4g7kumw0NIUxg==" saltValue="7nr0XPbmeeyfbnBPWSlOvA==" spinCount="100000" sheet="1" objects="1" scenarios="1" selectLockedCells="1"/>
  <customSheetViews>
    <customSheetView guid="{14FA32B8-8DA0-4B39-A6E2-254F8891DDCC}" scale="91" showPageBreaks="1" fitToPage="1" view="pageBreakPreview" topLeftCell="A13">
      <selection activeCell="G6" sqref="G6"/>
      <rowBreaks count="1" manualBreakCount="1">
        <brk id="36" max="16383" man="1"/>
      </rowBreaks>
      <pageMargins left="0.70866141732283472" right="0.70866141732283472" top="0.74803149606299213" bottom="0.74803149606299213" header="0.31496062992125984" footer="0.31496062992125984"/>
      <pageSetup paperSize="9" scale="92" fitToHeight="0" orientation="portrait" r:id="rId1"/>
      <headerFooter>
        <oddHeader>&amp;CUREDITEV RAFUTSKEGA PARKA Z LAŠČAKOVO VILO - Park&amp;RLUZ, d.d.</oddHeader>
        <oddFooter>&amp;C&amp;P</oddFooter>
      </headerFooter>
    </customSheetView>
  </customSheetViews>
  <pageMargins left="0.70866141732283472" right="0.70866141732283472" top="0.74803149606299213" bottom="0.74803149606299213" header="0.31496062992125984" footer="0.31496062992125984"/>
  <pageSetup paperSize="9" scale="89" fitToHeight="0" orientation="portrait" r:id="rId2"/>
  <headerFooter>
    <oddHeader>&amp;CUREDITEV RAFUTSKEGA PARKA Z LAŠČAKOVO VILO - Park&amp;RLUZ, d.d.</oddHeader>
    <oddFooter>&amp;C&amp;P</oddFoot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F41"/>
  <sheetViews>
    <sheetView view="pageBreakPreview" zoomScale="110" zoomScaleNormal="100" zoomScaleSheetLayoutView="110" workbookViewId="0"/>
  </sheetViews>
  <sheetFormatPr defaultColWidth="9.140625" defaultRowHeight="14.25"/>
  <cols>
    <col min="1" max="1" width="3.7109375" style="189" customWidth="1"/>
    <col min="2" max="2" width="80.7109375" style="189" customWidth="1"/>
    <col min="3" max="16384" width="9.140625" style="189"/>
  </cols>
  <sheetData>
    <row r="1" spans="2:2">
      <c r="B1" s="188" t="s">
        <v>494</v>
      </c>
    </row>
    <row r="2" spans="2:2">
      <c r="B2" s="190"/>
    </row>
    <row r="3" spans="2:2" ht="57">
      <c r="B3" s="191" t="s">
        <v>1712</v>
      </c>
    </row>
    <row r="4" spans="2:2" ht="28.5">
      <c r="B4" s="191" t="s">
        <v>653</v>
      </c>
    </row>
    <row r="5" spans="2:2" ht="28.5">
      <c r="B5" s="191" t="s">
        <v>1109</v>
      </c>
    </row>
    <row r="6" spans="2:2" ht="28.5">
      <c r="B6" s="192" t="s">
        <v>1110</v>
      </c>
    </row>
    <row r="7" spans="2:2">
      <c r="B7" s="190" t="s">
        <v>493</v>
      </c>
    </row>
    <row r="8" spans="2:2" ht="28.5">
      <c r="B8" s="191" t="s">
        <v>1448</v>
      </c>
    </row>
    <row r="9" spans="2:2">
      <c r="B9" s="193"/>
    </row>
    <row r="10" spans="2:2">
      <c r="B10" s="194" t="s">
        <v>492</v>
      </c>
    </row>
    <row r="11" spans="2:2">
      <c r="B11" s="195"/>
    </row>
    <row r="12" spans="2:2" ht="42.75">
      <c r="B12" s="196" t="s">
        <v>652</v>
      </c>
    </row>
    <row r="13" spans="2:2">
      <c r="B13" s="196" t="s">
        <v>651</v>
      </c>
    </row>
    <row r="14" spans="2:2">
      <c r="B14" s="196" t="s">
        <v>490</v>
      </c>
    </row>
    <row r="15" spans="2:2" ht="28.5">
      <c r="B15" s="196" t="s">
        <v>650</v>
      </c>
    </row>
    <row r="16" spans="2:2" ht="42.75">
      <c r="B16" s="196" t="s">
        <v>654</v>
      </c>
    </row>
    <row r="17" spans="1:6" ht="28.5">
      <c r="B17" s="196" t="s">
        <v>1577</v>
      </c>
    </row>
    <row r="18" spans="1:6" ht="28.5">
      <c r="B18" s="196" t="s">
        <v>649</v>
      </c>
    </row>
    <row r="19" spans="1:6">
      <c r="B19" s="196" t="s">
        <v>648</v>
      </c>
    </row>
    <row r="20" spans="1:6">
      <c r="B20" s="196" t="s">
        <v>489</v>
      </c>
    </row>
    <row r="21" spans="1:6">
      <c r="B21" s="196" t="s">
        <v>488</v>
      </c>
    </row>
    <row r="22" spans="1:6" ht="28.5">
      <c r="B22" s="196" t="s">
        <v>647</v>
      </c>
    </row>
    <row r="23" spans="1:6" ht="42.75">
      <c r="B23" s="196" t="s">
        <v>487</v>
      </c>
    </row>
    <row r="24" spans="1:6" ht="28.5">
      <c r="B24" s="196" t="s">
        <v>486</v>
      </c>
    </row>
    <row r="25" spans="1:6">
      <c r="B25" s="196" t="s">
        <v>646</v>
      </c>
    </row>
    <row r="26" spans="1:6" ht="28.5">
      <c r="B26" s="197" t="s">
        <v>678</v>
      </c>
    </row>
    <row r="27" spans="1:6" ht="42.75">
      <c r="B27" s="197" t="s">
        <v>679</v>
      </c>
    </row>
    <row r="28" spans="1:6" ht="84" customHeight="1">
      <c r="B28" s="375" t="s">
        <v>1587</v>
      </c>
    </row>
    <row r="29" spans="1:6" ht="28.5">
      <c r="B29" s="221" t="s">
        <v>1586</v>
      </c>
    </row>
    <row r="30" spans="1:6" s="187" customFormat="1" ht="57">
      <c r="A30" s="189"/>
      <c r="B30" s="221" t="s">
        <v>1085</v>
      </c>
      <c r="C30" s="189"/>
      <c r="D30" s="189"/>
      <c r="E30" s="189"/>
      <c r="F30" s="189"/>
    </row>
    <row r="31" spans="1:6">
      <c r="B31" s="191"/>
    </row>
    <row r="32" spans="1:6">
      <c r="B32" s="191"/>
    </row>
    <row r="33" spans="2:2">
      <c r="B33" s="198" t="s">
        <v>655</v>
      </c>
    </row>
    <row r="34" spans="2:2">
      <c r="B34" s="196"/>
    </row>
    <row r="35" spans="2:2" ht="55.5" customHeight="1">
      <c r="B35" s="196" t="s">
        <v>645</v>
      </c>
    </row>
    <row r="36" spans="2:2" ht="99.75" customHeight="1">
      <c r="B36" s="196" t="s">
        <v>644</v>
      </c>
    </row>
    <row r="37" spans="2:2" ht="28.5">
      <c r="B37" s="196" t="s">
        <v>491</v>
      </c>
    </row>
    <row r="38" spans="2:2">
      <c r="B38" s="196" t="s">
        <v>643</v>
      </c>
    </row>
    <row r="39" spans="2:2" ht="28.5">
      <c r="B39" s="196" t="s">
        <v>642</v>
      </c>
    </row>
    <row r="40" spans="2:2" ht="42.75">
      <c r="B40" s="196" t="s">
        <v>1111</v>
      </c>
    </row>
    <row r="41" spans="2:2">
      <c r="B41" s="196"/>
    </row>
  </sheetData>
  <sheetProtection algorithmName="SHA-512" hashValue="bA+AbImd/8KHr1HcjZxb4HXjaXUdklhVFrxNV5CWgi4NncH0ifdmpgIZKkqi6UFlbIeZ9cmY5pjOCZ/2artVVQ==" saltValue="YS37BeFJybTUEvqzGuPbFw==" spinCount="100000" sheet="1" objects="1" scenarios="1" selectLockedCells="1"/>
  <customSheetViews>
    <customSheetView guid="{14FA32B8-8DA0-4B39-A6E2-254F8891DDCC}" scale="110" showPageBreaks="1" printArea="1" view="pageBreakPreview">
      <selection activeCell="B28" sqref="B28"/>
      <rowBreaks count="2" manualBreakCount="2">
        <brk id="27" max="1" man="1"/>
        <brk id="41" max="16383" man="1"/>
      </rowBreaks>
      <pageMargins left="1.1812499999999999" right="0.39374999999999999" top="0.98402777777777772" bottom="0.98402777777777772" header="0.51180555555555551" footer="0.51180555555555551"/>
      <pageSetup paperSize="9" scale="95" firstPageNumber="0" orientation="portrait" r:id="rId1"/>
      <headerFooter alignWithMargins="0">
        <oddHeader xml:space="preserve">&amp;CUREDITEV RAFUTSKEGA PARKA Z LAŠČAKOVO VILO - Park
&amp;RLUZ,  d.d.
</oddHeader>
      </headerFooter>
    </customSheetView>
  </customSheetViews>
  <pageMargins left="1.1812499999999999" right="0.39374999999999999" top="0.98402777777777772" bottom="0.98402777777777772" header="0.51180555555555551" footer="0.51180555555555551"/>
  <pageSetup paperSize="9" scale="95" firstPageNumber="0" orientation="portrait" r:id="rId2"/>
  <headerFooter alignWithMargins="0">
    <oddHeader xml:space="preserve">&amp;CUREDITEV RAFUTSKEGA PARKA Z LAŠČAKOVO VILO - Park
&amp;RLUZ,  d.d.
</oddHeader>
  </headerFooter>
  <rowBreaks count="2" manualBreakCount="2">
    <brk id="27" max="1" man="1"/>
    <brk id="4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tabColor theme="6" tint="0.59999389629810485"/>
  </sheetPr>
  <dimension ref="A1:H278"/>
  <sheetViews>
    <sheetView view="pageBreakPreview" topLeftCell="A100" zoomScale="80" zoomScaleNormal="100" zoomScaleSheetLayoutView="80" workbookViewId="0">
      <selection activeCell="E130" sqref="E130:E131"/>
    </sheetView>
  </sheetViews>
  <sheetFormatPr defaultRowHeight="15"/>
  <cols>
    <col min="1" max="1" width="4.7109375" style="1161" bestFit="1" customWidth="1"/>
    <col min="2" max="2" width="45.7109375" style="1150" customWidth="1"/>
    <col min="3" max="3" width="5.85546875" style="1151" bestFit="1" customWidth="1"/>
    <col min="4" max="4" width="9.85546875" style="1137" bestFit="1" customWidth="1"/>
    <col min="5" max="5" width="10.140625" style="1152" bestFit="1" customWidth="1"/>
    <col min="6" max="6" width="12.7109375" style="1153" bestFit="1" customWidth="1"/>
    <col min="7" max="7" width="14.140625" style="1154" customWidth="1"/>
    <col min="8" max="8" width="12.85546875" style="1154" customWidth="1"/>
    <col min="9" max="256" width="9.140625" style="1154"/>
    <col min="257" max="257" width="4.7109375" style="1154" bestFit="1" customWidth="1"/>
    <col min="258" max="258" width="45.7109375" style="1154" customWidth="1"/>
    <col min="259" max="259" width="5.85546875" style="1154" bestFit="1" customWidth="1"/>
    <col min="260" max="260" width="9" style="1154" bestFit="1" customWidth="1"/>
    <col min="261" max="261" width="10.140625" style="1154" bestFit="1" customWidth="1"/>
    <col min="262" max="262" width="12.7109375" style="1154" bestFit="1" customWidth="1"/>
    <col min="263" max="512" width="9.140625" style="1154"/>
    <col min="513" max="513" width="4.7109375" style="1154" bestFit="1" customWidth="1"/>
    <col min="514" max="514" width="45.7109375" style="1154" customWidth="1"/>
    <col min="515" max="515" width="5.85546875" style="1154" bestFit="1" customWidth="1"/>
    <col min="516" max="516" width="9" style="1154" bestFit="1" customWidth="1"/>
    <col min="517" max="517" width="10.140625" style="1154" bestFit="1" customWidth="1"/>
    <col min="518" max="518" width="12.7109375" style="1154" bestFit="1" customWidth="1"/>
    <col min="519" max="768" width="9.140625" style="1154"/>
    <col min="769" max="769" width="4.7109375" style="1154" bestFit="1" customWidth="1"/>
    <col min="770" max="770" width="45.7109375" style="1154" customWidth="1"/>
    <col min="771" max="771" width="5.85546875" style="1154" bestFit="1" customWidth="1"/>
    <col min="772" max="772" width="9" style="1154" bestFit="1" customWidth="1"/>
    <col min="773" max="773" width="10.140625" style="1154" bestFit="1" customWidth="1"/>
    <col min="774" max="774" width="12.7109375" style="1154" bestFit="1" customWidth="1"/>
    <col min="775" max="1024" width="9.140625" style="1154"/>
    <col min="1025" max="1025" width="4.7109375" style="1154" bestFit="1" customWidth="1"/>
    <col min="1026" max="1026" width="45.7109375" style="1154" customWidth="1"/>
    <col min="1027" max="1027" width="5.85546875" style="1154" bestFit="1" customWidth="1"/>
    <col min="1028" max="1028" width="9" style="1154" bestFit="1" customWidth="1"/>
    <col min="1029" max="1029" width="10.140625" style="1154" bestFit="1" customWidth="1"/>
    <col min="1030" max="1030" width="12.7109375" style="1154" bestFit="1" customWidth="1"/>
    <col min="1031" max="1280" width="9.140625" style="1154"/>
    <col min="1281" max="1281" width="4.7109375" style="1154" bestFit="1" customWidth="1"/>
    <col min="1282" max="1282" width="45.7109375" style="1154" customWidth="1"/>
    <col min="1283" max="1283" width="5.85546875" style="1154" bestFit="1" customWidth="1"/>
    <col min="1284" max="1284" width="9" style="1154" bestFit="1" customWidth="1"/>
    <col min="1285" max="1285" width="10.140625" style="1154" bestFit="1" customWidth="1"/>
    <col min="1286" max="1286" width="12.7109375" style="1154" bestFit="1" customWidth="1"/>
    <col min="1287" max="1536" width="9.140625" style="1154"/>
    <col min="1537" max="1537" width="4.7109375" style="1154" bestFit="1" customWidth="1"/>
    <col min="1538" max="1538" width="45.7109375" style="1154" customWidth="1"/>
    <col min="1539" max="1539" width="5.85546875" style="1154" bestFit="1" customWidth="1"/>
    <col min="1540" max="1540" width="9" style="1154" bestFit="1" customWidth="1"/>
    <col min="1541" max="1541" width="10.140625" style="1154" bestFit="1" customWidth="1"/>
    <col min="1542" max="1542" width="12.7109375" style="1154" bestFit="1" customWidth="1"/>
    <col min="1543" max="1792" width="9.140625" style="1154"/>
    <col min="1793" max="1793" width="4.7109375" style="1154" bestFit="1" customWidth="1"/>
    <col min="1794" max="1794" width="45.7109375" style="1154" customWidth="1"/>
    <col min="1795" max="1795" width="5.85546875" style="1154" bestFit="1" customWidth="1"/>
    <col min="1796" max="1796" width="9" style="1154" bestFit="1" customWidth="1"/>
    <col min="1797" max="1797" width="10.140625" style="1154" bestFit="1" customWidth="1"/>
    <col min="1798" max="1798" width="12.7109375" style="1154" bestFit="1" customWidth="1"/>
    <col min="1799" max="2048" width="9.140625" style="1154"/>
    <col min="2049" max="2049" width="4.7109375" style="1154" bestFit="1" customWidth="1"/>
    <col min="2050" max="2050" width="45.7109375" style="1154" customWidth="1"/>
    <col min="2051" max="2051" width="5.85546875" style="1154" bestFit="1" customWidth="1"/>
    <col min="2052" max="2052" width="9" style="1154" bestFit="1" customWidth="1"/>
    <col min="2053" max="2053" width="10.140625" style="1154" bestFit="1" customWidth="1"/>
    <col min="2054" max="2054" width="12.7109375" style="1154" bestFit="1" customWidth="1"/>
    <col min="2055" max="2304" width="9.140625" style="1154"/>
    <col min="2305" max="2305" width="4.7109375" style="1154" bestFit="1" customWidth="1"/>
    <col min="2306" max="2306" width="45.7109375" style="1154" customWidth="1"/>
    <col min="2307" max="2307" width="5.85546875" style="1154" bestFit="1" customWidth="1"/>
    <col min="2308" max="2308" width="9" style="1154" bestFit="1" customWidth="1"/>
    <col min="2309" max="2309" width="10.140625" style="1154" bestFit="1" customWidth="1"/>
    <col min="2310" max="2310" width="12.7109375" style="1154" bestFit="1" customWidth="1"/>
    <col min="2311" max="2560" width="9.140625" style="1154"/>
    <col min="2561" max="2561" width="4.7109375" style="1154" bestFit="1" customWidth="1"/>
    <col min="2562" max="2562" width="45.7109375" style="1154" customWidth="1"/>
    <col min="2563" max="2563" width="5.85546875" style="1154" bestFit="1" customWidth="1"/>
    <col min="2564" max="2564" width="9" style="1154" bestFit="1" customWidth="1"/>
    <col min="2565" max="2565" width="10.140625" style="1154" bestFit="1" customWidth="1"/>
    <col min="2566" max="2566" width="12.7109375" style="1154" bestFit="1" customWidth="1"/>
    <col min="2567" max="2816" width="9.140625" style="1154"/>
    <col min="2817" max="2817" width="4.7109375" style="1154" bestFit="1" customWidth="1"/>
    <col min="2818" max="2818" width="45.7109375" style="1154" customWidth="1"/>
    <col min="2819" max="2819" width="5.85546875" style="1154" bestFit="1" customWidth="1"/>
    <col min="2820" max="2820" width="9" style="1154" bestFit="1" customWidth="1"/>
    <col min="2821" max="2821" width="10.140625" style="1154" bestFit="1" customWidth="1"/>
    <col min="2822" max="2822" width="12.7109375" style="1154" bestFit="1" customWidth="1"/>
    <col min="2823" max="3072" width="9.140625" style="1154"/>
    <col min="3073" max="3073" width="4.7109375" style="1154" bestFit="1" customWidth="1"/>
    <col min="3074" max="3074" width="45.7109375" style="1154" customWidth="1"/>
    <col min="3075" max="3075" width="5.85546875" style="1154" bestFit="1" customWidth="1"/>
    <col min="3076" max="3076" width="9" style="1154" bestFit="1" customWidth="1"/>
    <col min="3077" max="3077" width="10.140625" style="1154" bestFit="1" customWidth="1"/>
    <col min="3078" max="3078" width="12.7109375" style="1154" bestFit="1" customWidth="1"/>
    <col min="3079" max="3328" width="9.140625" style="1154"/>
    <col min="3329" max="3329" width="4.7109375" style="1154" bestFit="1" customWidth="1"/>
    <col min="3330" max="3330" width="45.7109375" style="1154" customWidth="1"/>
    <col min="3331" max="3331" width="5.85546875" style="1154" bestFit="1" customWidth="1"/>
    <col min="3332" max="3332" width="9" style="1154" bestFit="1" customWidth="1"/>
    <col min="3333" max="3333" width="10.140625" style="1154" bestFit="1" customWidth="1"/>
    <col min="3334" max="3334" width="12.7109375" style="1154" bestFit="1" customWidth="1"/>
    <col min="3335" max="3584" width="9.140625" style="1154"/>
    <col min="3585" max="3585" width="4.7109375" style="1154" bestFit="1" customWidth="1"/>
    <col min="3586" max="3586" width="45.7109375" style="1154" customWidth="1"/>
    <col min="3587" max="3587" width="5.85546875" style="1154" bestFit="1" customWidth="1"/>
    <col min="3588" max="3588" width="9" style="1154" bestFit="1" customWidth="1"/>
    <col min="3589" max="3589" width="10.140625" style="1154" bestFit="1" customWidth="1"/>
    <col min="3590" max="3590" width="12.7109375" style="1154" bestFit="1" customWidth="1"/>
    <col min="3591" max="3840" width="9.140625" style="1154"/>
    <col min="3841" max="3841" width="4.7109375" style="1154" bestFit="1" customWidth="1"/>
    <col min="3842" max="3842" width="45.7109375" style="1154" customWidth="1"/>
    <col min="3843" max="3843" width="5.85546875" style="1154" bestFit="1" customWidth="1"/>
    <col min="3844" max="3844" width="9" style="1154" bestFit="1" customWidth="1"/>
    <col min="3845" max="3845" width="10.140625" style="1154" bestFit="1" customWidth="1"/>
    <col min="3846" max="3846" width="12.7109375" style="1154" bestFit="1" customWidth="1"/>
    <col min="3847" max="4096" width="9.140625" style="1154"/>
    <col min="4097" max="4097" width="4.7109375" style="1154" bestFit="1" customWidth="1"/>
    <col min="4098" max="4098" width="45.7109375" style="1154" customWidth="1"/>
    <col min="4099" max="4099" width="5.85546875" style="1154" bestFit="1" customWidth="1"/>
    <col min="4100" max="4100" width="9" style="1154" bestFit="1" customWidth="1"/>
    <col min="4101" max="4101" width="10.140625" style="1154" bestFit="1" customWidth="1"/>
    <col min="4102" max="4102" width="12.7109375" style="1154" bestFit="1" customWidth="1"/>
    <col min="4103" max="4352" width="9.140625" style="1154"/>
    <col min="4353" max="4353" width="4.7109375" style="1154" bestFit="1" customWidth="1"/>
    <col min="4354" max="4354" width="45.7109375" style="1154" customWidth="1"/>
    <col min="4355" max="4355" width="5.85546875" style="1154" bestFit="1" customWidth="1"/>
    <col min="4356" max="4356" width="9" style="1154" bestFit="1" customWidth="1"/>
    <col min="4357" max="4357" width="10.140625" style="1154" bestFit="1" customWidth="1"/>
    <col min="4358" max="4358" width="12.7109375" style="1154" bestFit="1" customWidth="1"/>
    <col min="4359" max="4608" width="9.140625" style="1154"/>
    <col min="4609" max="4609" width="4.7109375" style="1154" bestFit="1" customWidth="1"/>
    <col min="4610" max="4610" width="45.7109375" style="1154" customWidth="1"/>
    <col min="4611" max="4611" width="5.85546875" style="1154" bestFit="1" customWidth="1"/>
    <col min="4612" max="4612" width="9" style="1154" bestFit="1" customWidth="1"/>
    <col min="4613" max="4613" width="10.140625" style="1154" bestFit="1" customWidth="1"/>
    <col min="4614" max="4614" width="12.7109375" style="1154" bestFit="1" customWidth="1"/>
    <col min="4615" max="4864" width="9.140625" style="1154"/>
    <col min="4865" max="4865" width="4.7109375" style="1154" bestFit="1" customWidth="1"/>
    <col min="4866" max="4866" width="45.7109375" style="1154" customWidth="1"/>
    <col min="4867" max="4867" width="5.85546875" style="1154" bestFit="1" customWidth="1"/>
    <col min="4868" max="4868" width="9" style="1154" bestFit="1" customWidth="1"/>
    <col min="4869" max="4869" width="10.140625" style="1154" bestFit="1" customWidth="1"/>
    <col min="4870" max="4870" width="12.7109375" style="1154" bestFit="1" customWidth="1"/>
    <col min="4871" max="5120" width="9.140625" style="1154"/>
    <col min="5121" max="5121" width="4.7109375" style="1154" bestFit="1" customWidth="1"/>
    <col min="5122" max="5122" width="45.7109375" style="1154" customWidth="1"/>
    <col min="5123" max="5123" width="5.85546875" style="1154" bestFit="1" customWidth="1"/>
    <col min="5124" max="5124" width="9" style="1154" bestFit="1" customWidth="1"/>
    <col min="5125" max="5125" width="10.140625" style="1154" bestFit="1" customWidth="1"/>
    <col min="5126" max="5126" width="12.7109375" style="1154" bestFit="1" customWidth="1"/>
    <col min="5127" max="5376" width="9.140625" style="1154"/>
    <col min="5377" max="5377" width="4.7109375" style="1154" bestFit="1" customWidth="1"/>
    <col min="5378" max="5378" width="45.7109375" style="1154" customWidth="1"/>
    <col min="5379" max="5379" width="5.85546875" style="1154" bestFit="1" customWidth="1"/>
    <col min="5380" max="5380" width="9" style="1154" bestFit="1" customWidth="1"/>
    <col min="5381" max="5381" width="10.140625" style="1154" bestFit="1" customWidth="1"/>
    <col min="5382" max="5382" width="12.7109375" style="1154" bestFit="1" customWidth="1"/>
    <col min="5383" max="5632" width="9.140625" style="1154"/>
    <col min="5633" max="5633" width="4.7109375" style="1154" bestFit="1" customWidth="1"/>
    <col min="5634" max="5634" width="45.7109375" style="1154" customWidth="1"/>
    <col min="5635" max="5635" width="5.85546875" style="1154" bestFit="1" customWidth="1"/>
    <col min="5636" max="5636" width="9" style="1154" bestFit="1" customWidth="1"/>
    <col min="5637" max="5637" width="10.140625" style="1154" bestFit="1" customWidth="1"/>
    <col min="5638" max="5638" width="12.7109375" style="1154" bestFit="1" customWidth="1"/>
    <col min="5639" max="5888" width="9.140625" style="1154"/>
    <col min="5889" max="5889" width="4.7109375" style="1154" bestFit="1" customWidth="1"/>
    <col min="5890" max="5890" width="45.7109375" style="1154" customWidth="1"/>
    <col min="5891" max="5891" width="5.85546875" style="1154" bestFit="1" customWidth="1"/>
    <col min="5892" max="5892" width="9" style="1154" bestFit="1" customWidth="1"/>
    <col min="5893" max="5893" width="10.140625" style="1154" bestFit="1" customWidth="1"/>
    <col min="5894" max="5894" width="12.7109375" style="1154" bestFit="1" customWidth="1"/>
    <col min="5895" max="6144" width="9.140625" style="1154"/>
    <col min="6145" max="6145" width="4.7109375" style="1154" bestFit="1" customWidth="1"/>
    <col min="6146" max="6146" width="45.7109375" style="1154" customWidth="1"/>
    <col min="6147" max="6147" width="5.85546875" style="1154" bestFit="1" customWidth="1"/>
    <col min="6148" max="6148" width="9" style="1154" bestFit="1" customWidth="1"/>
    <col min="6149" max="6149" width="10.140625" style="1154" bestFit="1" customWidth="1"/>
    <col min="6150" max="6150" width="12.7109375" style="1154" bestFit="1" customWidth="1"/>
    <col min="6151" max="6400" width="9.140625" style="1154"/>
    <col min="6401" max="6401" width="4.7109375" style="1154" bestFit="1" customWidth="1"/>
    <col min="6402" max="6402" width="45.7109375" style="1154" customWidth="1"/>
    <col min="6403" max="6403" width="5.85546875" style="1154" bestFit="1" customWidth="1"/>
    <col min="6404" max="6404" width="9" style="1154" bestFit="1" customWidth="1"/>
    <col min="6405" max="6405" width="10.140625" style="1154" bestFit="1" customWidth="1"/>
    <col min="6406" max="6406" width="12.7109375" style="1154" bestFit="1" customWidth="1"/>
    <col min="6407" max="6656" width="9.140625" style="1154"/>
    <col min="6657" max="6657" width="4.7109375" style="1154" bestFit="1" customWidth="1"/>
    <col min="6658" max="6658" width="45.7109375" style="1154" customWidth="1"/>
    <col min="6659" max="6659" width="5.85546875" style="1154" bestFit="1" customWidth="1"/>
    <col min="6660" max="6660" width="9" style="1154" bestFit="1" customWidth="1"/>
    <col min="6661" max="6661" width="10.140625" style="1154" bestFit="1" customWidth="1"/>
    <col min="6662" max="6662" width="12.7109375" style="1154" bestFit="1" customWidth="1"/>
    <col min="6663" max="6912" width="9.140625" style="1154"/>
    <col min="6913" max="6913" width="4.7109375" style="1154" bestFit="1" customWidth="1"/>
    <col min="6914" max="6914" width="45.7109375" style="1154" customWidth="1"/>
    <col min="6915" max="6915" width="5.85546875" style="1154" bestFit="1" customWidth="1"/>
    <col min="6916" max="6916" width="9" style="1154" bestFit="1" customWidth="1"/>
    <col min="6917" max="6917" width="10.140625" style="1154" bestFit="1" customWidth="1"/>
    <col min="6918" max="6918" width="12.7109375" style="1154" bestFit="1" customWidth="1"/>
    <col min="6919" max="7168" width="9.140625" style="1154"/>
    <col min="7169" max="7169" width="4.7109375" style="1154" bestFit="1" customWidth="1"/>
    <col min="7170" max="7170" width="45.7109375" style="1154" customWidth="1"/>
    <col min="7171" max="7171" width="5.85546875" style="1154" bestFit="1" customWidth="1"/>
    <col min="7172" max="7172" width="9" style="1154" bestFit="1" customWidth="1"/>
    <col min="7173" max="7173" width="10.140625" style="1154" bestFit="1" customWidth="1"/>
    <col min="7174" max="7174" width="12.7109375" style="1154" bestFit="1" customWidth="1"/>
    <col min="7175" max="7424" width="9.140625" style="1154"/>
    <col min="7425" max="7425" width="4.7109375" style="1154" bestFit="1" customWidth="1"/>
    <col min="7426" max="7426" width="45.7109375" style="1154" customWidth="1"/>
    <col min="7427" max="7427" width="5.85546875" style="1154" bestFit="1" customWidth="1"/>
    <col min="7428" max="7428" width="9" style="1154" bestFit="1" customWidth="1"/>
    <col min="7429" max="7429" width="10.140625" style="1154" bestFit="1" customWidth="1"/>
    <col min="7430" max="7430" width="12.7109375" style="1154" bestFit="1" customWidth="1"/>
    <col min="7431" max="7680" width="9.140625" style="1154"/>
    <col min="7681" max="7681" width="4.7109375" style="1154" bestFit="1" customWidth="1"/>
    <col min="7682" max="7682" width="45.7109375" style="1154" customWidth="1"/>
    <col min="7683" max="7683" width="5.85546875" style="1154" bestFit="1" customWidth="1"/>
    <col min="7684" max="7684" width="9" style="1154" bestFit="1" customWidth="1"/>
    <col min="7685" max="7685" width="10.140625" style="1154" bestFit="1" customWidth="1"/>
    <col min="7686" max="7686" width="12.7109375" style="1154" bestFit="1" customWidth="1"/>
    <col min="7687" max="7936" width="9.140625" style="1154"/>
    <col min="7937" max="7937" width="4.7109375" style="1154" bestFit="1" customWidth="1"/>
    <col min="7938" max="7938" width="45.7109375" style="1154" customWidth="1"/>
    <col min="7939" max="7939" width="5.85546875" style="1154" bestFit="1" customWidth="1"/>
    <col min="7940" max="7940" width="9" style="1154" bestFit="1" customWidth="1"/>
    <col min="7941" max="7941" width="10.140625" style="1154" bestFit="1" customWidth="1"/>
    <col min="7942" max="7942" width="12.7109375" style="1154" bestFit="1" customWidth="1"/>
    <col min="7943" max="8192" width="9.140625" style="1154"/>
    <col min="8193" max="8193" width="4.7109375" style="1154" bestFit="1" customWidth="1"/>
    <col min="8194" max="8194" width="45.7109375" style="1154" customWidth="1"/>
    <col min="8195" max="8195" width="5.85546875" style="1154" bestFit="1" customWidth="1"/>
    <col min="8196" max="8196" width="9" style="1154" bestFit="1" customWidth="1"/>
    <col min="8197" max="8197" width="10.140625" style="1154" bestFit="1" customWidth="1"/>
    <col min="8198" max="8198" width="12.7109375" style="1154" bestFit="1" customWidth="1"/>
    <col min="8199" max="8448" width="9.140625" style="1154"/>
    <col min="8449" max="8449" width="4.7109375" style="1154" bestFit="1" customWidth="1"/>
    <col min="8450" max="8450" width="45.7109375" style="1154" customWidth="1"/>
    <col min="8451" max="8451" width="5.85546875" style="1154" bestFit="1" customWidth="1"/>
    <col min="8452" max="8452" width="9" style="1154" bestFit="1" customWidth="1"/>
    <col min="8453" max="8453" width="10.140625" style="1154" bestFit="1" customWidth="1"/>
    <col min="8454" max="8454" width="12.7109375" style="1154" bestFit="1" customWidth="1"/>
    <col min="8455" max="8704" width="9.140625" style="1154"/>
    <col min="8705" max="8705" width="4.7109375" style="1154" bestFit="1" customWidth="1"/>
    <col min="8706" max="8706" width="45.7109375" style="1154" customWidth="1"/>
    <col min="8707" max="8707" width="5.85546875" style="1154" bestFit="1" customWidth="1"/>
    <col min="8708" max="8708" width="9" style="1154" bestFit="1" customWidth="1"/>
    <col min="8709" max="8709" width="10.140625" style="1154" bestFit="1" customWidth="1"/>
    <col min="8710" max="8710" width="12.7109375" style="1154" bestFit="1" customWidth="1"/>
    <col min="8711" max="8960" width="9.140625" style="1154"/>
    <col min="8961" max="8961" width="4.7109375" style="1154" bestFit="1" customWidth="1"/>
    <col min="8962" max="8962" width="45.7109375" style="1154" customWidth="1"/>
    <col min="8963" max="8963" width="5.85546875" style="1154" bestFit="1" customWidth="1"/>
    <col min="8964" max="8964" width="9" style="1154" bestFit="1" customWidth="1"/>
    <col min="8965" max="8965" width="10.140625" style="1154" bestFit="1" customWidth="1"/>
    <col min="8966" max="8966" width="12.7109375" style="1154" bestFit="1" customWidth="1"/>
    <col min="8967" max="9216" width="9.140625" style="1154"/>
    <col min="9217" max="9217" width="4.7109375" style="1154" bestFit="1" customWidth="1"/>
    <col min="9218" max="9218" width="45.7109375" style="1154" customWidth="1"/>
    <col min="9219" max="9219" width="5.85546875" style="1154" bestFit="1" customWidth="1"/>
    <col min="9220" max="9220" width="9" style="1154" bestFit="1" customWidth="1"/>
    <col min="9221" max="9221" width="10.140625" style="1154" bestFit="1" customWidth="1"/>
    <col min="9222" max="9222" width="12.7109375" style="1154" bestFit="1" customWidth="1"/>
    <col min="9223" max="9472" width="9.140625" style="1154"/>
    <col min="9473" max="9473" width="4.7109375" style="1154" bestFit="1" customWidth="1"/>
    <col min="9474" max="9474" width="45.7109375" style="1154" customWidth="1"/>
    <col min="9475" max="9475" width="5.85546875" style="1154" bestFit="1" customWidth="1"/>
    <col min="9476" max="9476" width="9" style="1154" bestFit="1" customWidth="1"/>
    <col min="9477" max="9477" width="10.140625" style="1154" bestFit="1" customWidth="1"/>
    <col min="9478" max="9478" width="12.7109375" style="1154" bestFit="1" customWidth="1"/>
    <col min="9479" max="9728" width="9.140625" style="1154"/>
    <col min="9729" max="9729" width="4.7109375" style="1154" bestFit="1" customWidth="1"/>
    <col min="9730" max="9730" width="45.7109375" style="1154" customWidth="1"/>
    <col min="9731" max="9731" width="5.85546875" style="1154" bestFit="1" customWidth="1"/>
    <col min="9732" max="9732" width="9" style="1154" bestFit="1" customWidth="1"/>
    <col min="9733" max="9733" width="10.140625" style="1154" bestFit="1" customWidth="1"/>
    <col min="9734" max="9734" width="12.7109375" style="1154" bestFit="1" customWidth="1"/>
    <col min="9735" max="9984" width="9.140625" style="1154"/>
    <col min="9985" max="9985" width="4.7109375" style="1154" bestFit="1" customWidth="1"/>
    <col min="9986" max="9986" width="45.7109375" style="1154" customWidth="1"/>
    <col min="9987" max="9987" width="5.85546875" style="1154" bestFit="1" customWidth="1"/>
    <col min="9988" max="9988" width="9" style="1154" bestFit="1" customWidth="1"/>
    <col min="9989" max="9989" width="10.140625" style="1154" bestFit="1" customWidth="1"/>
    <col min="9990" max="9990" width="12.7109375" style="1154" bestFit="1" customWidth="1"/>
    <col min="9991" max="10240" width="9.140625" style="1154"/>
    <col min="10241" max="10241" width="4.7109375" style="1154" bestFit="1" customWidth="1"/>
    <col min="10242" max="10242" width="45.7109375" style="1154" customWidth="1"/>
    <col min="10243" max="10243" width="5.85546875" style="1154" bestFit="1" customWidth="1"/>
    <col min="10244" max="10244" width="9" style="1154" bestFit="1" customWidth="1"/>
    <col min="10245" max="10245" width="10.140625" style="1154" bestFit="1" customWidth="1"/>
    <col min="10246" max="10246" width="12.7109375" style="1154" bestFit="1" customWidth="1"/>
    <col min="10247" max="10496" width="9.140625" style="1154"/>
    <col min="10497" max="10497" width="4.7109375" style="1154" bestFit="1" customWidth="1"/>
    <col min="10498" max="10498" width="45.7109375" style="1154" customWidth="1"/>
    <col min="10499" max="10499" width="5.85546875" style="1154" bestFit="1" customWidth="1"/>
    <col min="10500" max="10500" width="9" style="1154" bestFit="1" customWidth="1"/>
    <col min="10501" max="10501" width="10.140625" style="1154" bestFit="1" customWidth="1"/>
    <col min="10502" max="10502" width="12.7109375" style="1154" bestFit="1" customWidth="1"/>
    <col min="10503" max="10752" width="9.140625" style="1154"/>
    <col min="10753" max="10753" width="4.7109375" style="1154" bestFit="1" customWidth="1"/>
    <col min="10754" max="10754" width="45.7109375" style="1154" customWidth="1"/>
    <col min="10755" max="10755" width="5.85546875" style="1154" bestFit="1" customWidth="1"/>
    <col min="10756" max="10756" width="9" style="1154" bestFit="1" customWidth="1"/>
    <col min="10757" max="10757" width="10.140625" style="1154" bestFit="1" customWidth="1"/>
    <col min="10758" max="10758" width="12.7109375" style="1154" bestFit="1" customWidth="1"/>
    <col min="10759" max="11008" width="9.140625" style="1154"/>
    <col min="11009" max="11009" width="4.7109375" style="1154" bestFit="1" customWidth="1"/>
    <col min="11010" max="11010" width="45.7109375" style="1154" customWidth="1"/>
    <col min="11011" max="11011" width="5.85546875" style="1154" bestFit="1" customWidth="1"/>
    <col min="11012" max="11012" width="9" style="1154" bestFit="1" customWidth="1"/>
    <col min="11013" max="11013" width="10.140625" style="1154" bestFit="1" customWidth="1"/>
    <col min="11014" max="11014" width="12.7109375" style="1154" bestFit="1" customWidth="1"/>
    <col min="11015" max="11264" width="9.140625" style="1154"/>
    <col min="11265" max="11265" width="4.7109375" style="1154" bestFit="1" customWidth="1"/>
    <col min="11266" max="11266" width="45.7109375" style="1154" customWidth="1"/>
    <col min="11267" max="11267" width="5.85546875" style="1154" bestFit="1" customWidth="1"/>
    <col min="11268" max="11268" width="9" style="1154" bestFit="1" customWidth="1"/>
    <col min="11269" max="11269" width="10.140625" style="1154" bestFit="1" customWidth="1"/>
    <col min="11270" max="11270" width="12.7109375" style="1154" bestFit="1" customWidth="1"/>
    <col min="11271" max="11520" width="9.140625" style="1154"/>
    <col min="11521" max="11521" width="4.7109375" style="1154" bestFit="1" customWidth="1"/>
    <col min="11522" max="11522" width="45.7109375" style="1154" customWidth="1"/>
    <col min="11523" max="11523" width="5.85546875" style="1154" bestFit="1" customWidth="1"/>
    <col min="11524" max="11524" width="9" style="1154" bestFit="1" customWidth="1"/>
    <col min="11525" max="11525" width="10.140625" style="1154" bestFit="1" customWidth="1"/>
    <col min="11526" max="11526" width="12.7109375" style="1154" bestFit="1" customWidth="1"/>
    <col min="11527" max="11776" width="9.140625" style="1154"/>
    <col min="11777" max="11777" width="4.7109375" style="1154" bestFit="1" customWidth="1"/>
    <col min="11778" max="11778" width="45.7109375" style="1154" customWidth="1"/>
    <col min="11779" max="11779" width="5.85546875" style="1154" bestFit="1" customWidth="1"/>
    <col min="11780" max="11780" width="9" style="1154" bestFit="1" customWidth="1"/>
    <col min="11781" max="11781" width="10.140625" style="1154" bestFit="1" customWidth="1"/>
    <col min="11782" max="11782" width="12.7109375" style="1154" bestFit="1" customWidth="1"/>
    <col min="11783" max="12032" width="9.140625" style="1154"/>
    <col min="12033" max="12033" width="4.7109375" style="1154" bestFit="1" customWidth="1"/>
    <col min="12034" max="12034" width="45.7109375" style="1154" customWidth="1"/>
    <col min="12035" max="12035" width="5.85546875" style="1154" bestFit="1" customWidth="1"/>
    <col min="12036" max="12036" width="9" style="1154" bestFit="1" customWidth="1"/>
    <col min="12037" max="12037" width="10.140625" style="1154" bestFit="1" customWidth="1"/>
    <col min="12038" max="12038" width="12.7109375" style="1154" bestFit="1" customWidth="1"/>
    <col min="12039" max="12288" width="9.140625" style="1154"/>
    <col min="12289" max="12289" width="4.7109375" style="1154" bestFit="1" customWidth="1"/>
    <col min="12290" max="12290" width="45.7109375" style="1154" customWidth="1"/>
    <col min="12291" max="12291" width="5.85546875" style="1154" bestFit="1" customWidth="1"/>
    <col min="12292" max="12292" width="9" style="1154" bestFit="1" customWidth="1"/>
    <col min="12293" max="12293" width="10.140625" style="1154" bestFit="1" customWidth="1"/>
    <col min="12294" max="12294" width="12.7109375" style="1154" bestFit="1" customWidth="1"/>
    <col min="12295" max="12544" width="9.140625" style="1154"/>
    <col min="12545" max="12545" width="4.7109375" style="1154" bestFit="1" customWidth="1"/>
    <col min="12546" max="12546" width="45.7109375" style="1154" customWidth="1"/>
    <col min="12547" max="12547" width="5.85546875" style="1154" bestFit="1" customWidth="1"/>
    <col min="12548" max="12548" width="9" style="1154" bestFit="1" customWidth="1"/>
    <col min="12549" max="12549" width="10.140625" style="1154" bestFit="1" customWidth="1"/>
    <col min="12550" max="12550" width="12.7109375" style="1154" bestFit="1" customWidth="1"/>
    <col min="12551" max="12800" width="9.140625" style="1154"/>
    <col min="12801" max="12801" width="4.7109375" style="1154" bestFit="1" customWidth="1"/>
    <col min="12802" max="12802" width="45.7109375" style="1154" customWidth="1"/>
    <col min="12803" max="12803" width="5.85546875" style="1154" bestFit="1" customWidth="1"/>
    <col min="12804" max="12804" width="9" style="1154" bestFit="1" customWidth="1"/>
    <col min="12805" max="12805" width="10.140625" style="1154" bestFit="1" customWidth="1"/>
    <col min="12806" max="12806" width="12.7109375" style="1154" bestFit="1" customWidth="1"/>
    <col min="12807" max="13056" width="9.140625" style="1154"/>
    <col min="13057" max="13057" width="4.7109375" style="1154" bestFit="1" customWidth="1"/>
    <col min="13058" max="13058" width="45.7109375" style="1154" customWidth="1"/>
    <col min="13059" max="13059" width="5.85546875" style="1154" bestFit="1" customWidth="1"/>
    <col min="13060" max="13060" width="9" style="1154" bestFit="1" customWidth="1"/>
    <col min="13061" max="13061" width="10.140625" style="1154" bestFit="1" customWidth="1"/>
    <col min="13062" max="13062" width="12.7109375" style="1154" bestFit="1" customWidth="1"/>
    <col min="13063" max="13312" width="9.140625" style="1154"/>
    <col min="13313" max="13313" width="4.7109375" style="1154" bestFit="1" customWidth="1"/>
    <col min="13314" max="13314" width="45.7109375" style="1154" customWidth="1"/>
    <col min="13315" max="13315" width="5.85546875" style="1154" bestFit="1" customWidth="1"/>
    <col min="13316" max="13316" width="9" style="1154" bestFit="1" customWidth="1"/>
    <col min="13317" max="13317" width="10.140625" style="1154" bestFit="1" customWidth="1"/>
    <col min="13318" max="13318" width="12.7109375" style="1154" bestFit="1" customWidth="1"/>
    <col min="13319" max="13568" width="9.140625" style="1154"/>
    <col min="13569" max="13569" width="4.7109375" style="1154" bestFit="1" customWidth="1"/>
    <col min="13570" max="13570" width="45.7109375" style="1154" customWidth="1"/>
    <col min="13571" max="13571" width="5.85546875" style="1154" bestFit="1" customWidth="1"/>
    <col min="13572" max="13572" width="9" style="1154" bestFit="1" customWidth="1"/>
    <col min="13573" max="13573" width="10.140625" style="1154" bestFit="1" customWidth="1"/>
    <col min="13574" max="13574" width="12.7109375" style="1154" bestFit="1" customWidth="1"/>
    <col min="13575" max="13824" width="9.140625" style="1154"/>
    <col min="13825" max="13825" width="4.7109375" style="1154" bestFit="1" customWidth="1"/>
    <col min="13826" max="13826" width="45.7109375" style="1154" customWidth="1"/>
    <col min="13827" max="13827" width="5.85546875" style="1154" bestFit="1" customWidth="1"/>
    <col min="13828" max="13828" width="9" style="1154" bestFit="1" customWidth="1"/>
    <col min="13829" max="13829" width="10.140625" style="1154" bestFit="1" customWidth="1"/>
    <col min="13830" max="13830" width="12.7109375" style="1154" bestFit="1" customWidth="1"/>
    <col min="13831" max="14080" width="9.140625" style="1154"/>
    <col min="14081" max="14081" width="4.7109375" style="1154" bestFit="1" customWidth="1"/>
    <col min="14082" max="14082" width="45.7109375" style="1154" customWidth="1"/>
    <col min="14083" max="14083" width="5.85546875" style="1154" bestFit="1" customWidth="1"/>
    <col min="14084" max="14084" width="9" style="1154" bestFit="1" customWidth="1"/>
    <col min="14085" max="14085" width="10.140625" style="1154" bestFit="1" customWidth="1"/>
    <col min="14086" max="14086" width="12.7109375" style="1154" bestFit="1" customWidth="1"/>
    <col min="14087" max="14336" width="9.140625" style="1154"/>
    <col min="14337" max="14337" width="4.7109375" style="1154" bestFit="1" customWidth="1"/>
    <col min="14338" max="14338" width="45.7109375" style="1154" customWidth="1"/>
    <col min="14339" max="14339" width="5.85546875" style="1154" bestFit="1" customWidth="1"/>
    <col min="14340" max="14340" width="9" style="1154" bestFit="1" customWidth="1"/>
    <col min="14341" max="14341" width="10.140625" style="1154" bestFit="1" customWidth="1"/>
    <col min="14342" max="14342" width="12.7109375" style="1154" bestFit="1" customWidth="1"/>
    <col min="14343" max="14592" width="9.140625" style="1154"/>
    <col min="14593" max="14593" width="4.7109375" style="1154" bestFit="1" customWidth="1"/>
    <col min="14594" max="14594" width="45.7109375" style="1154" customWidth="1"/>
    <col min="14595" max="14595" width="5.85546875" style="1154" bestFit="1" customWidth="1"/>
    <col min="14596" max="14596" width="9" style="1154" bestFit="1" customWidth="1"/>
    <col min="14597" max="14597" width="10.140625" style="1154" bestFit="1" customWidth="1"/>
    <col min="14598" max="14598" width="12.7109375" style="1154" bestFit="1" customWidth="1"/>
    <col min="14599" max="14848" width="9.140625" style="1154"/>
    <col min="14849" max="14849" width="4.7109375" style="1154" bestFit="1" customWidth="1"/>
    <col min="14850" max="14850" width="45.7109375" style="1154" customWidth="1"/>
    <col min="14851" max="14851" width="5.85546875" style="1154" bestFit="1" customWidth="1"/>
    <col min="14852" max="14852" width="9" style="1154" bestFit="1" customWidth="1"/>
    <col min="14853" max="14853" width="10.140625" style="1154" bestFit="1" customWidth="1"/>
    <col min="14854" max="14854" width="12.7109375" style="1154" bestFit="1" customWidth="1"/>
    <col min="14855" max="15104" width="9.140625" style="1154"/>
    <col min="15105" max="15105" width="4.7109375" style="1154" bestFit="1" customWidth="1"/>
    <col min="15106" max="15106" width="45.7109375" style="1154" customWidth="1"/>
    <col min="15107" max="15107" width="5.85546875" style="1154" bestFit="1" customWidth="1"/>
    <col min="15108" max="15108" width="9" style="1154" bestFit="1" customWidth="1"/>
    <col min="15109" max="15109" width="10.140625" style="1154" bestFit="1" customWidth="1"/>
    <col min="15110" max="15110" width="12.7109375" style="1154" bestFit="1" customWidth="1"/>
    <col min="15111" max="15360" width="9.140625" style="1154"/>
    <col min="15361" max="15361" width="4.7109375" style="1154" bestFit="1" customWidth="1"/>
    <col min="15362" max="15362" width="45.7109375" style="1154" customWidth="1"/>
    <col min="15363" max="15363" width="5.85546875" style="1154" bestFit="1" customWidth="1"/>
    <col min="15364" max="15364" width="9" style="1154" bestFit="1" customWidth="1"/>
    <col min="15365" max="15365" width="10.140625" style="1154" bestFit="1" customWidth="1"/>
    <col min="15366" max="15366" width="12.7109375" style="1154" bestFit="1" customWidth="1"/>
    <col min="15367" max="15616" width="9.140625" style="1154"/>
    <col min="15617" max="15617" width="4.7109375" style="1154" bestFit="1" customWidth="1"/>
    <col min="15618" max="15618" width="45.7109375" style="1154" customWidth="1"/>
    <col min="15619" max="15619" width="5.85546875" style="1154" bestFit="1" customWidth="1"/>
    <col min="15620" max="15620" width="9" style="1154" bestFit="1" customWidth="1"/>
    <col min="15621" max="15621" width="10.140625" style="1154" bestFit="1" customWidth="1"/>
    <col min="15622" max="15622" width="12.7109375" style="1154" bestFit="1" customWidth="1"/>
    <col min="15623" max="15872" width="9.140625" style="1154"/>
    <col min="15873" max="15873" width="4.7109375" style="1154" bestFit="1" customWidth="1"/>
    <col min="15874" max="15874" width="45.7109375" style="1154" customWidth="1"/>
    <col min="15875" max="15875" width="5.85546875" style="1154" bestFit="1" customWidth="1"/>
    <col min="15876" max="15876" width="9" style="1154" bestFit="1" customWidth="1"/>
    <col min="15877" max="15877" width="10.140625" style="1154" bestFit="1" customWidth="1"/>
    <col min="15878" max="15878" width="12.7109375" style="1154" bestFit="1" customWidth="1"/>
    <col min="15879" max="16128" width="9.140625" style="1154"/>
    <col min="16129" max="16129" width="4.7109375" style="1154" bestFit="1" customWidth="1"/>
    <col min="16130" max="16130" width="45.7109375" style="1154" customWidth="1"/>
    <col min="16131" max="16131" width="5.85546875" style="1154" bestFit="1" customWidth="1"/>
    <col min="16132" max="16132" width="9" style="1154" bestFit="1" customWidth="1"/>
    <col min="16133" max="16133" width="10.140625" style="1154" bestFit="1" customWidth="1"/>
    <col min="16134" max="16134" width="12.7109375" style="1154" bestFit="1" customWidth="1"/>
    <col min="16135" max="16384" width="9.140625" style="1154"/>
  </cols>
  <sheetData>
    <row r="1" spans="1:8">
      <c r="A1" s="1149">
        <v>1.1000000000000001</v>
      </c>
    </row>
    <row r="2" spans="1:8" ht="31.5">
      <c r="A2" s="1155" t="s">
        <v>1493</v>
      </c>
      <c r="B2" s="1156" t="s">
        <v>208</v>
      </c>
      <c r="C2" s="1136"/>
    </row>
    <row r="3" spans="1:8" ht="15.75">
      <c r="A3" s="1134"/>
      <c r="B3" s="1156"/>
      <c r="C3" s="1136"/>
    </row>
    <row r="4" spans="1:8" ht="15.75">
      <c r="A4" s="1134" t="s">
        <v>1494</v>
      </c>
      <c r="B4" s="1156" t="s">
        <v>170</v>
      </c>
    </row>
    <row r="5" spans="1:8" s="1113" customFormat="1" ht="48">
      <c r="A5" s="1108" t="s">
        <v>210</v>
      </c>
      <c r="B5" s="1109" t="s">
        <v>211</v>
      </c>
      <c r="C5" s="1108" t="s">
        <v>212</v>
      </c>
      <c r="D5" s="1110" t="s">
        <v>213</v>
      </c>
      <c r="E5" s="1111" t="s">
        <v>214</v>
      </c>
      <c r="F5" s="1121" t="s">
        <v>215</v>
      </c>
      <c r="G5" s="1112" t="s">
        <v>1608</v>
      </c>
      <c r="H5" s="1112" t="s">
        <v>1607</v>
      </c>
    </row>
    <row r="6" spans="1:8">
      <c r="A6" s="1108"/>
      <c r="B6" s="1157"/>
      <c r="C6" s="1158"/>
      <c r="E6" s="1159"/>
      <c r="F6" s="1160"/>
    </row>
    <row r="7" spans="1:8" ht="26.25">
      <c r="A7" s="1161" t="s">
        <v>20</v>
      </c>
      <c r="B7" s="1150" t="s">
        <v>216</v>
      </c>
      <c r="C7" s="1151" t="s">
        <v>217</v>
      </c>
      <c r="D7" s="1137">
        <v>1200</v>
      </c>
      <c r="E7" s="1143"/>
      <c r="F7" s="1153">
        <f>D7*E7</f>
        <v>0</v>
      </c>
      <c r="G7" s="1162">
        <f>E7*1100</f>
        <v>0</v>
      </c>
      <c r="H7" s="1162">
        <f>E7*100</f>
        <v>0</v>
      </c>
    </row>
    <row r="8" spans="1:8">
      <c r="G8" s="1162"/>
      <c r="H8" s="1162"/>
    </row>
    <row r="9" spans="1:8" ht="29.25" customHeight="1">
      <c r="A9" s="1161" t="s">
        <v>41</v>
      </c>
      <c r="B9" s="1150" t="s">
        <v>218</v>
      </c>
      <c r="C9" s="1151" t="s">
        <v>217</v>
      </c>
      <c r="D9" s="1137">
        <v>450</v>
      </c>
      <c r="E9" s="1143"/>
      <c r="F9" s="1153">
        <f>D9*E9</f>
        <v>0</v>
      </c>
      <c r="G9" s="1162">
        <f>E9*420</f>
        <v>0</v>
      </c>
      <c r="H9" s="1162">
        <f>E9*30</f>
        <v>0</v>
      </c>
    </row>
    <row r="10" spans="1:8">
      <c r="G10" s="1162"/>
      <c r="H10" s="1162"/>
    </row>
    <row r="11" spans="1:8">
      <c r="A11" s="1161" t="s">
        <v>49</v>
      </c>
      <c r="B11" s="1150" t="s">
        <v>219</v>
      </c>
      <c r="C11" s="1151" t="s">
        <v>116</v>
      </c>
      <c r="D11" s="1137">
        <v>22</v>
      </c>
      <c r="E11" s="1143"/>
      <c r="F11" s="1153">
        <f>D11*E11</f>
        <v>0</v>
      </c>
      <c r="G11" s="1162">
        <f>E11*21</f>
        <v>0</v>
      </c>
      <c r="H11" s="1162">
        <f>E11*1</f>
        <v>0</v>
      </c>
    </row>
    <row r="12" spans="1:8">
      <c r="G12" s="1162"/>
      <c r="H12" s="1162"/>
    </row>
    <row r="13" spans="1:8">
      <c r="B13" s="1163" t="s">
        <v>220</v>
      </c>
      <c r="F13" s="1164">
        <f>SUM(F7:F12)</f>
        <v>0</v>
      </c>
      <c r="G13" s="1165">
        <f>SUM(G7:G12)</f>
        <v>0</v>
      </c>
      <c r="H13" s="1165">
        <f>SUM(H7:H12)</f>
        <v>0</v>
      </c>
    </row>
    <row r="14" spans="1:8">
      <c r="G14" s="1162"/>
      <c r="H14" s="1162"/>
    </row>
    <row r="15" spans="1:8" ht="15.75">
      <c r="A15" s="1134" t="s">
        <v>1495</v>
      </c>
      <c r="B15" s="1156" t="s">
        <v>100</v>
      </c>
      <c r="G15" s="1162"/>
      <c r="H15" s="1162"/>
    </row>
    <row r="16" spans="1:8" s="1113" customFormat="1">
      <c r="A16" s="1108" t="s">
        <v>210</v>
      </c>
      <c r="B16" s="1109" t="s">
        <v>211</v>
      </c>
      <c r="C16" s="1108" t="s">
        <v>212</v>
      </c>
      <c r="D16" s="1110" t="s">
        <v>213</v>
      </c>
      <c r="E16" s="1111" t="s">
        <v>214</v>
      </c>
      <c r="F16" s="1121" t="s">
        <v>215</v>
      </c>
      <c r="G16" s="1166" t="s">
        <v>215</v>
      </c>
      <c r="H16" s="1166" t="s">
        <v>215</v>
      </c>
    </row>
    <row r="17" spans="1:8">
      <c r="A17" s="1108"/>
      <c r="B17" s="1157"/>
      <c r="C17" s="1158"/>
      <c r="E17" s="1159"/>
      <c r="F17" s="1160"/>
    </row>
    <row r="18" spans="1:8" ht="89.25">
      <c r="A18" s="1167" t="s">
        <v>20</v>
      </c>
      <c r="B18" s="1168" t="s">
        <v>1496</v>
      </c>
      <c r="C18" s="1169" t="s">
        <v>217</v>
      </c>
      <c r="D18" s="1170">
        <v>340</v>
      </c>
      <c r="E18" s="1143"/>
      <c r="F18" s="1153">
        <f>D18*E18</f>
        <v>0</v>
      </c>
      <c r="G18" s="1162">
        <f>E18*290</f>
        <v>0</v>
      </c>
      <c r="H18" s="1162">
        <f>E18*50</f>
        <v>0</v>
      </c>
    </row>
    <row r="19" spans="1:8">
      <c r="A19" s="1167"/>
      <c r="B19" s="1171" t="s">
        <v>221</v>
      </c>
      <c r="C19" s="1154"/>
      <c r="D19" s="1170"/>
      <c r="E19" s="1172"/>
      <c r="F19" s="1154"/>
    </row>
    <row r="20" spans="1:8">
      <c r="A20" s="1167"/>
      <c r="B20" s="1171" t="s">
        <v>222</v>
      </c>
      <c r="C20" s="1169" t="s">
        <v>223</v>
      </c>
      <c r="D20" s="1173">
        <v>0.25</v>
      </c>
      <c r="E20" s="1172"/>
      <c r="F20" s="1154"/>
    </row>
    <row r="21" spans="1:8">
      <c r="A21" s="1167"/>
      <c r="B21" s="1171" t="s">
        <v>224</v>
      </c>
      <c r="C21" s="1169" t="s">
        <v>223</v>
      </c>
      <c r="D21" s="1173">
        <v>0.06</v>
      </c>
      <c r="E21" s="1172"/>
      <c r="F21" s="1154"/>
    </row>
    <row r="22" spans="1:8" s="1175" customFormat="1">
      <c r="A22" s="1167"/>
      <c r="B22" s="1171" t="s">
        <v>225</v>
      </c>
      <c r="C22" s="1169" t="s">
        <v>223</v>
      </c>
      <c r="D22" s="1173">
        <v>5.8000000000000003E-2</v>
      </c>
      <c r="E22" s="1174"/>
    </row>
    <row r="23" spans="1:8" s="1175" customFormat="1">
      <c r="A23" s="1167"/>
      <c r="B23" s="1176" t="s">
        <v>226</v>
      </c>
      <c r="C23" s="1169" t="s">
        <v>223</v>
      </c>
      <c r="D23" s="1173">
        <v>0.186</v>
      </c>
      <c r="E23" s="1177"/>
    </row>
    <row r="24" spans="1:8">
      <c r="A24" s="1167"/>
      <c r="B24" s="1171" t="s">
        <v>227</v>
      </c>
      <c r="C24" s="1169" t="s">
        <v>217</v>
      </c>
      <c r="D24" s="1173">
        <v>1</v>
      </c>
      <c r="E24" s="1172"/>
      <c r="F24" s="1154"/>
    </row>
    <row r="25" spans="1:8">
      <c r="A25" s="1167"/>
      <c r="B25" s="1171" t="s">
        <v>228</v>
      </c>
      <c r="C25" s="1169" t="s">
        <v>217</v>
      </c>
      <c r="D25" s="1173">
        <v>1</v>
      </c>
      <c r="E25" s="1172"/>
      <c r="F25" s="1154"/>
    </row>
    <row r="26" spans="1:8">
      <c r="A26" s="1167"/>
      <c r="B26" s="1171" t="s">
        <v>229</v>
      </c>
      <c r="C26" s="1169" t="s">
        <v>10</v>
      </c>
      <c r="D26" s="1173">
        <v>0</v>
      </c>
      <c r="E26" s="1172"/>
      <c r="F26" s="1154"/>
    </row>
    <row r="27" spans="1:8">
      <c r="A27" s="1167"/>
      <c r="B27" s="1171" t="s">
        <v>230</v>
      </c>
      <c r="C27" s="1169" t="s">
        <v>217</v>
      </c>
      <c r="D27" s="1173">
        <v>1</v>
      </c>
      <c r="E27" s="1172"/>
      <c r="F27" s="1154"/>
    </row>
    <row r="28" spans="1:8">
      <c r="A28" s="1167"/>
      <c r="B28" s="1171" t="s">
        <v>231</v>
      </c>
      <c r="C28" s="1169" t="s">
        <v>223</v>
      </c>
      <c r="D28" s="1173">
        <v>0.31</v>
      </c>
      <c r="E28" s="1172"/>
      <c r="F28" s="1154"/>
    </row>
    <row r="29" spans="1:8">
      <c r="A29" s="1167"/>
      <c r="B29" s="1171"/>
      <c r="C29" s="1169"/>
      <c r="D29" s="1173"/>
      <c r="E29" s="1172"/>
      <c r="F29" s="1154"/>
    </row>
    <row r="30" spans="1:8" s="892" customFormat="1" ht="89.25">
      <c r="A30" s="1178" t="s">
        <v>41</v>
      </c>
      <c r="B30" s="1168" t="s">
        <v>1497</v>
      </c>
      <c r="C30" s="1179" t="s">
        <v>217</v>
      </c>
      <c r="D30" s="1180">
        <v>480</v>
      </c>
      <c r="E30" s="1143"/>
      <c r="F30" s="1153">
        <f>D30*E30</f>
        <v>0</v>
      </c>
      <c r="G30" s="1181">
        <f>F30</f>
        <v>0</v>
      </c>
      <c r="H30" s="1181">
        <f>F30-G30</f>
        <v>0</v>
      </c>
    </row>
    <row r="31" spans="1:8" s="892" customFormat="1">
      <c r="A31" s="1178"/>
      <c r="B31" s="1168" t="s">
        <v>221</v>
      </c>
      <c r="D31" s="1180"/>
      <c r="E31" s="1181"/>
    </row>
    <row r="32" spans="1:8" s="1183" customFormat="1">
      <c r="A32" s="1178"/>
      <c r="B32" s="1168" t="s">
        <v>222</v>
      </c>
      <c r="C32" s="1179" t="s">
        <v>223</v>
      </c>
      <c r="D32" s="1104">
        <v>0.36</v>
      </c>
      <c r="E32" s="1182"/>
    </row>
    <row r="33" spans="1:8" s="892" customFormat="1">
      <c r="A33" s="1178"/>
      <c r="B33" s="1168" t="s">
        <v>224</v>
      </c>
      <c r="C33" s="1179" t="s">
        <v>223</v>
      </c>
      <c r="D33" s="1104">
        <v>0.09</v>
      </c>
      <c r="E33" s="1181"/>
    </row>
    <row r="34" spans="1:8" s="892" customFormat="1">
      <c r="A34" s="1178"/>
      <c r="B34" s="1168" t="s">
        <v>225</v>
      </c>
      <c r="C34" s="1179" t="s">
        <v>223</v>
      </c>
      <c r="D34" s="1104">
        <v>6.4000000000000001E-2</v>
      </c>
      <c r="E34" s="1181"/>
    </row>
    <row r="35" spans="1:8" s="892" customFormat="1">
      <c r="A35" s="1178"/>
      <c r="B35" s="1184" t="s">
        <v>226</v>
      </c>
      <c r="C35" s="1179" t="s">
        <v>223</v>
      </c>
      <c r="D35" s="1104">
        <v>0.27</v>
      </c>
      <c r="E35" s="1181"/>
    </row>
    <row r="36" spans="1:8" s="892" customFormat="1">
      <c r="A36" s="1178"/>
      <c r="B36" s="1168" t="s">
        <v>227</v>
      </c>
      <c r="C36" s="1179" t="s">
        <v>217</v>
      </c>
      <c r="D36" s="1104">
        <v>2</v>
      </c>
      <c r="E36" s="1181"/>
    </row>
    <row r="37" spans="1:8" s="1186" customFormat="1">
      <c r="A37" s="1178"/>
      <c r="B37" s="1168" t="s">
        <v>228</v>
      </c>
      <c r="C37" s="1179" t="s">
        <v>217</v>
      </c>
      <c r="D37" s="1104">
        <v>1</v>
      </c>
      <c r="E37" s="1185"/>
    </row>
    <row r="38" spans="1:8" s="892" customFormat="1">
      <c r="A38" s="1178"/>
      <c r="B38" s="1168" t="s">
        <v>229</v>
      </c>
      <c r="C38" s="1179" t="s">
        <v>10</v>
      </c>
      <c r="D38" s="1104">
        <v>1</v>
      </c>
      <c r="E38" s="1181"/>
    </row>
    <row r="39" spans="1:8" s="1186" customFormat="1">
      <c r="A39" s="1178"/>
      <c r="B39" s="1168" t="s">
        <v>230</v>
      </c>
      <c r="C39" s="1179" t="s">
        <v>217</v>
      </c>
      <c r="D39" s="1104">
        <v>1</v>
      </c>
      <c r="E39" s="1185"/>
    </row>
    <row r="40" spans="1:8" s="1186" customFormat="1">
      <c r="A40" s="1178"/>
      <c r="B40" s="1168" t="s">
        <v>231</v>
      </c>
      <c r="C40" s="1179" t="s">
        <v>223</v>
      </c>
      <c r="D40" s="1104">
        <v>0.45</v>
      </c>
      <c r="E40" s="1185"/>
    </row>
    <row r="41" spans="1:8" s="1186" customFormat="1">
      <c r="A41" s="1178"/>
      <c r="B41" s="1168"/>
      <c r="C41" s="1179"/>
      <c r="D41" s="1104"/>
      <c r="E41" s="1185"/>
    </row>
    <row r="42" spans="1:8" s="892" customFormat="1" ht="89.25">
      <c r="A42" s="1178" t="s">
        <v>49</v>
      </c>
      <c r="B42" s="1168" t="s">
        <v>1498</v>
      </c>
      <c r="C42" s="1179" t="s">
        <v>217</v>
      </c>
      <c r="D42" s="1180">
        <v>30</v>
      </c>
      <c r="E42" s="1143"/>
      <c r="F42" s="1153">
        <f>D42*E42</f>
        <v>0</v>
      </c>
      <c r="G42" s="1181">
        <f>F42</f>
        <v>0</v>
      </c>
      <c r="H42" s="1181">
        <f>F42-G42</f>
        <v>0</v>
      </c>
    </row>
    <row r="43" spans="1:8" s="892" customFormat="1">
      <c r="A43" s="1178"/>
      <c r="B43" s="1168" t="s">
        <v>221</v>
      </c>
      <c r="D43" s="1180"/>
      <c r="E43" s="1181"/>
    </row>
    <row r="44" spans="1:8" s="1183" customFormat="1">
      <c r="A44" s="1178"/>
      <c r="B44" s="1168" t="s">
        <v>222</v>
      </c>
      <c r="C44" s="1179" t="s">
        <v>223</v>
      </c>
      <c r="D44" s="1104">
        <v>0.48</v>
      </c>
      <c r="E44" s="1187"/>
    </row>
    <row r="45" spans="1:8" s="892" customFormat="1">
      <c r="A45" s="1178"/>
      <c r="B45" s="1168" t="s">
        <v>224</v>
      </c>
      <c r="C45" s="1179" t="s">
        <v>223</v>
      </c>
      <c r="D45" s="1104">
        <v>0.12</v>
      </c>
      <c r="E45" s="1187"/>
    </row>
    <row r="46" spans="1:8" s="892" customFormat="1">
      <c r="A46" s="1178"/>
      <c r="B46" s="1168" t="s">
        <v>225</v>
      </c>
      <c r="C46" s="1179" t="s">
        <v>223</v>
      </c>
      <c r="D46" s="1104">
        <v>6.9000000000000006E-2</v>
      </c>
      <c r="E46" s="1187"/>
    </row>
    <row r="47" spans="1:8" s="892" customFormat="1">
      <c r="A47" s="1178"/>
      <c r="B47" s="1184" t="s">
        <v>226</v>
      </c>
      <c r="C47" s="1179" t="s">
        <v>223</v>
      </c>
      <c r="D47" s="1104">
        <v>0.35399999999999998</v>
      </c>
      <c r="E47" s="1187"/>
    </row>
    <row r="48" spans="1:8" s="892" customFormat="1">
      <c r="A48" s="1178"/>
      <c r="B48" s="1168" t="s">
        <v>227</v>
      </c>
      <c r="C48" s="1179" t="s">
        <v>217</v>
      </c>
      <c r="D48" s="1104">
        <v>3</v>
      </c>
      <c r="E48" s="1187"/>
    </row>
    <row r="49" spans="1:8" s="1186" customFormat="1">
      <c r="A49" s="1178"/>
      <c r="B49" s="1168" t="s">
        <v>228</v>
      </c>
      <c r="C49" s="1179" t="s">
        <v>217</v>
      </c>
      <c r="D49" s="1104">
        <v>1</v>
      </c>
      <c r="E49" s="1187"/>
    </row>
    <row r="50" spans="1:8" s="892" customFormat="1">
      <c r="A50" s="1178"/>
      <c r="B50" s="1168" t="s">
        <v>229</v>
      </c>
      <c r="C50" s="1179" t="s">
        <v>10</v>
      </c>
      <c r="D50" s="1104">
        <v>1</v>
      </c>
      <c r="E50" s="1187"/>
    </row>
    <row r="51" spans="1:8" s="1186" customFormat="1">
      <c r="A51" s="1178"/>
      <c r="B51" s="1168" t="s">
        <v>230</v>
      </c>
      <c r="C51" s="1179" t="s">
        <v>217</v>
      </c>
      <c r="D51" s="1104">
        <v>1</v>
      </c>
      <c r="E51" s="1187"/>
    </row>
    <row r="52" spans="1:8" s="1186" customFormat="1">
      <c r="A52" s="1178"/>
      <c r="B52" s="1168" t="s">
        <v>231</v>
      </c>
      <c r="C52" s="1179" t="s">
        <v>223</v>
      </c>
      <c r="D52" s="1104">
        <v>0.6</v>
      </c>
      <c r="E52" s="1187"/>
    </row>
    <row r="53" spans="1:8" s="892" customFormat="1">
      <c r="A53" s="1188" t="s">
        <v>107</v>
      </c>
      <c r="B53" s="1189"/>
      <c r="C53" s="1190"/>
      <c r="D53" s="1191"/>
      <c r="E53" s="1152"/>
      <c r="F53" s="1153"/>
    </row>
    <row r="54" spans="1:8">
      <c r="A54" s="1167"/>
      <c r="B54" s="1171"/>
      <c r="C54" s="1169"/>
      <c r="D54" s="1170"/>
      <c r="E54" s="1172"/>
      <c r="F54" s="1154"/>
    </row>
    <row r="55" spans="1:8" ht="89.25">
      <c r="A55" s="1167" t="s">
        <v>50</v>
      </c>
      <c r="B55" s="1171" t="s">
        <v>232</v>
      </c>
      <c r="C55" s="1169" t="s">
        <v>217</v>
      </c>
      <c r="D55" s="1170">
        <v>210</v>
      </c>
      <c r="E55" s="1143"/>
      <c r="F55" s="1153">
        <f>D55*E55</f>
        <v>0</v>
      </c>
      <c r="G55" s="1181">
        <f>F55</f>
        <v>0</v>
      </c>
      <c r="H55" s="1181">
        <f>F55-G55</f>
        <v>0</v>
      </c>
    </row>
    <row r="56" spans="1:8">
      <c r="A56" s="1167"/>
      <c r="B56" s="1171" t="s">
        <v>221</v>
      </c>
      <c r="C56" s="1154"/>
      <c r="D56" s="1170"/>
      <c r="E56" s="1172"/>
      <c r="F56" s="1154"/>
    </row>
    <row r="57" spans="1:8" s="1193" customFormat="1">
      <c r="A57" s="1167"/>
      <c r="B57" s="1171" t="s">
        <v>222</v>
      </c>
      <c r="C57" s="1169" t="s">
        <v>223</v>
      </c>
      <c r="D57" s="1173">
        <v>0.25</v>
      </c>
      <c r="E57" s="1192"/>
    </row>
    <row r="58" spans="1:8">
      <c r="A58" s="1167"/>
      <c r="B58" s="1171" t="s">
        <v>224</v>
      </c>
      <c r="C58" s="1169" t="s">
        <v>223</v>
      </c>
      <c r="D58" s="1173">
        <v>0.09</v>
      </c>
      <c r="E58" s="1172"/>
      <c r="F58" s="1154"/>
    </row>
    <row r="59" spans="1:8">
      <c r="A59" s="1167"/>
      <c r="B59" s="1171" t="s">
        <v>225</v>
      </c>
      <c r="C59" s="1169" t="s">
        <v>223</v>
      </c>
      <c r="D59" s="1173">
        <v>6.4000000000000001E-2</v>
      </c>
      <c r="E59" s="1172"/>
      <c r="F59" s="1154"/>
    </row>
    <row r="60" spans="1:8">
      <c r="A60" s="1167"/>
      <c r="B60" s="1176" t="s">
        <v>226</v>
      </c>
      <c r="C60" s="1169" t="s">
        <v>223</v>
      </c>
      <c r="D60" s="1173">
        <v>0.27</v>
      </c>
      <c r="E60" s="1172"/>
      <c r="F60" s="1154"/>
    </row>
    <row r="61" spans="1:8">
      <c r="A61" s="1167"/>
      <c r="B61" s="1171" t="s">
        <v>233</v>
      </c>
      <c r="C61" s="1169" t="s">
        <v>217</v>
      </c>
      <c r="D61" s="1173">
        <v>1</v>
      </c>
      <c r="E61" s="1172"/>
      <c r="F61" s="1154"/>
    </row>
    <row r="62" spans="1:8" s="1175" customFormat="1">
      <c r="A62" s="1167"/>
      <c r="B62" s="1171" t="s">
        <v>228</v>
      </c>
      <c r="C62" s="1169" t="s">
        <v>217</v>
      </c>
      <c r="D62" s="1173">
        <v>1</v>
      </c>
      <c r="E62" s="1177"/>
    </row>
    <row r="63" spans="1:8" s="892" customFormat="1">
      <c r="A63" s="1167"/>
      <c r="B63" s="1171" t="s">
        <v>229</v>
      </c>
      <c r="C63" s="1169" t="s">
        <v>10</v>
      </c>
      <c r="D63" s="1173">
        <v>1</v>
      </c>
      <c r="E63" s="1181"/>
    </row>
    <row r="64" spans="1:8" s="1175" customFormat="1">
      <c r="A64" s="1167"/>
      <c r="B64" s="1171" t="s">
        <v>230</v>
      </c>
      <c r="C64" s="1169" t="s">
        <v>217</v>
      </c>
      <c r="D64" s="1173">
        <v>1</v>
      </c>
      <c r="E64" s="1177"/>
    </row>
    <row r="65" spans="1:8" s="1175" customFormat="1">
      <c r="A65" s="1167"/>
      <c r="B65" s="1171" t="s">
        <v>231</v>
      </c>
      <c r="C65" s="1169" t="s">
        <v>223</v>
      </c>
      <c r="D65" s="1173">
        <v>0.25</v>
      </c>
      <c r="E65" s="1177"/>
    </row>
    <row r="66" spans="1:8" s="1175" customFormat="1">
      <c r="A66" s="1167"/>
      <c r="B66" s="1171"/>
      <c r="C66" s="1169"/>
      <c r="D66" s="1173"/>
      <c r="E66" s="1177"/>
    </row>
    <row r="67" spans="1:8" ht="64.5">
      <c r="A67" s="1167" t="s">
        <v>51</v>
      </c>
      <c r="B67" s="1194" t="s">
        <v>1499</v>
      </c>
      <c r="C67" s="1151" t="s">
        <v>10</v>
      </c>
      <c r="D67" s="1137">
        <v>6</v>
      </c>
      <c r="E67" s="1143"/>
      <c r="F67" s="1153">
        <f>D67*E67</f>
        <v>0</v>
      </c>
      <c r="G67" s="1162">
        <f>E67*5</f>
        <v>0</v>
      </c>
      <c r="H67" s="1162">
        <f>E67*1</f>
        <v>0</v>
      </c>
    </row>
    <row r="68" spans="1:8">
      <c r="A68" s="1167"/>
      <c r="B68" s="1194"/>
      <c r="G68" s="1162"/>
      <c r="H68" s="1162"/>
    </row>
    <row r="69" spans="1:8" ht="77.25">
      <c r="A69" s="1167" t="s">
        <v>52</v>
      </c>
      <c r="B69" s="1194" t="s">
        <v>1500</v>
      </c>
      <c r="C69" s="1151" t="s">
        <v>10</v>
      </c>
      <c r="D69" s="1137">
        <v>11</v>
      </c>
      <c r="E69" s="1143"/>
      <c r="F69" s="1153">
        <f>D69*E69</f>
        <v>0</v>
      </c>
      <c r="G69" s="1162">
        <f>E69*11</f>
        <v>0</v>
      </c>
      <c r="H69" s="1162">
        <f>E69*0</f>
        <v>0</v>
      </c>
    </row>
    <row r="70" spans="1:8">
      <c r="A70" s="1167"/>
      <c r="B70" s="1194"/>
      <c r="G70" s="1162"/>
      <c r="H70" s="1162"/>
    </row>
    <row r="71" spans="1:8" ht="64.5">
      <c r="A71" s="1167" t="s">
        <v>53</v>
      </c>
      <c r="B71" s="1194" t="s">
        <v>1501</v>
      </c>
      <c r="C71" s="1151" t="s">
        <v>10</v>
      </c>
      <c r="D71" s="1137">
        <v>19</v>
      </c>
      <c r="E71" s="1143"/>
      <c r="F71" s="1153">
        <f>D71*E71</f>
        <v>0</v>
      </c>
      <c r="G71" s="1162">
        <f>E71*19</f>
        <v>0</v>
      </c>
      <c r="H71" s="1162">
        <f>E71*0</f>
        <v>0</v>
      </c>
    </row>
    <row r="72" spans="1:8">
      <c r="A72" s="1167"/>
      <c r="G72" s="1162"/>
      <c r="H72" s="1162"/>
    </row>
    <row r="73" spans="1:8" ht="51.75">
      <c r="A73" s="1167" t="s">
        <v>61</v>
      </c>
      <c r="B73" s="1150" t="s">
        <v>234</v>
      </c>
      <c r="C73" s="1151" t="s">
        <v>235</v>
      </c>
      <c r="D73" s="1137">
        <v>35</v>
      </c>
      <c r="E73" s="1143"/>
      <c r="F73" s="1153">
        <f>D73*E73</f>
        <v>0</v>
      </c>
      <c r="G73" s="1162">
        <f>E73*35</f>
        <v>0</v>
      </c>
      <c r="H73" s="1162">
        <f>E73*0</f>
        <v>0</v>
      </c>
    </row>
    <row r="74" spans="1:8">
      <c r="A74" s="1167"/>
      <c r="G74" s="1162"/>
      <c r="H74" s="1162"/>
    </row>
    <row r="75" spans="1:8" ht="26.25">
      <c r="A75" s="1167" t="s">
        <v>62</v>
      </c>
      <c r="B75" s="1150" t="s">
        <v>1502</v>
      </c>
      <c r="C75" s="1151" t="s">
        <v>235</v>
      </c>
      <c r="D75" s="1137">
        <v>1</v>
      </c>
      <c r="E75" s="1143"/>
      <c r="F75" s="1153">
        <f>D75*E75</f>
        <v>0</v>
      </c>
      <c r="G75" s="1162">
        <f>E75*1</f>
        <v>0</v>
      </c>
      <c r="H75" s="1162">
        <f>F75*0</f>
        <v>0</v>
      </c>
    </row>
    <row r="76" spans="1:8">
      <c r="A76" s="1167"/>
      <c r="G76" s="1162"/>
      <c r="H76" s="1162"/>
    </row>
    <row r="77" spans="1:8" ht="26.25">
      <c r="A77" s="1167" t="s">
        <v>63</v>
      </c>
      <c r="B77" s="1150" t="s">
        <v>1503</v>
      </c>
      <c r="C77" s="1151" t="s">
        <v>235</v>
      </c>
      <c r="D77" s="1137">
        <v>3</v>
      </c>
      <c r="E77" s="1143"/>
      <c r="F77" s="1153">
        <f>D77*E77</f>
        <v>0</v>
      </c>
      <c r="G77" s="1162">
        <f>E77*3</f>
        <v>0</v>
      </c>
      <c r="H77" s="1162">
        <f>E77*0</f>
        <v>0</v>
      </c>
    </row>
    <row r="78" spans="1:8">
      <c r="A78" s="1167"/>
      <c r="G78" s="1162"/>
      <c r="H78" s="1162"/>
    </row>
    <row r="79" spans="1:8" ht="51.75">
      <c r="A79" s="1167" t="s">
        <v>1504</v>
      </c>
      <c r="B79" s="1150" t="s">
        <v>236</v>
      </c>
      <c r="C79" s="1151" t="s">
        <v>10</v>
      </c>
      <c r="D79" s="1137">
        <v>4</v>
      </c>
      <c r="E79" s="1143"/>
      <c r="F79" s="1153">
        <f>D79*E79</f>
        <v>0</v>
      </c>
      <c r="G79" s="1162">
        <f>E79*4</f>
        <v>0</v>
      </c>
      <c r="H79" s="1162">
        <f>E79*0</f>
        <v>0</v>
      </c>
    </row>
    <row r="80" spans="1:8" s="1151" customFormat="1">
      <c r="A80" s="1167"/>
      <c r="B80" s="1195"/>
      <c r="D80" s="1137"/>
      <c r="E80" s="1152"/>
      <c r="F80" s="1152"/>
      <c r="G80" s="1162"/>
      <c r="H80" s="1162"/>
    </row>
    <row r="81" spans="1:8" s="1200" customFormat="1" ht="38.25">
      <c r="A81" s="1167" t="s">
        <v>1505</v>
      </c>
      <c r="B81" s="1196" t="s">
        <v>1616</v>
      </c>
      <c r="C81" s="1197" t="s">
        <v>72</v>
      </c>
      <c r="D81" s="1198">
        <v>2</v>
      </c>
      <c r="E81" s="1147"/>
      <c r="F81" s="1199">
        <f>D81*E81</f>
        <v>0</v>
      </c>
      <c r="G81" s="1162">
        <f>E81*2</f>
        <v>0</v>
      </c>
      <c r="H81" s="1162">
        <f>E81*0</f>
        <v>0</v>
      </c>
    </row>
    <row r="82" spans="1:8">
      <c r="A82" s="1167"/>
      <c r="B82" s="1201"/>
    </row>
    <row r="83" spans="1:8">
      <c r="A83" s="1167" t="s">
        <v>1506</v>
      </c>
      <c r="B83" s="1150" t="s">
        <v>237</v>
      </c>
      <c r="D83" s="1202">
        <v>0.05</v>
      </c>
      <c r="E83" s="1152">
        <f>SUM(F18:F81)</f>
        <v>0</v>
      </c>
      <c r="F83" s="1153">
        <f>E83*D83</f>
        <v>0</v>
      </c>
      <c r="G83" s="1162">
        <f>SUM(G18:G81)*0.05</f>
        <v>0</v>
      </c>
      <c r="H83" s="1162">
        <f>SUM(H18:H81)*0.05</f>
        <v>0</v>
      </c>
    </row>
    <row r="84" spans="1:8">
      <c r="B84" s="1203"/>
      <c r="E84" s="1177"/>
    </row>
    <row r="85" spans="1:8">
      <c r="B85" s="1163" t="s">
        <v>220</v>
      </c>
      <c r="E85" s="1177"/>
      <c r="F85" s="1164">
        <f>SUM(F18:F83)</f>
        <v>0</v>
      </c>
      <c r="G85" s="1165">
        <f>SUM(G18:G83)</f>
        <v>0</v>
      </c>
      <c r="H85" s="1165">
        <f>SUM(H18:H83)</f>
        <v>0</v>
      </c>
    </row>
    <row r="86" spans="1:8" ht="15.75">
      <c r="A86" s="1134" t="s">
        <v>1507</v>
      </c>
      <c r="B86" s="1156" t="s">
        <v>238</v>
      </c>
    </row>
    <row r="87" spans="1:8" s="1113" customFormat="1">
      <c r="A87" s="1108" t="s">
        <v>210</v>
      </c>
      <c r="B87" s="1109" t="s">
        <v>211</v>
      </c>
      <c r="C87" s="1108" t="s">
        <v>212</v>
      </c>
      <c r="D87" s="1110" t="s">
        <v>213</v>
      </c>
      <c r="E87" s="1111" t="s">
        <v>214</v>
      </c>
      <c r="F87" s="1121" t="s">
        <v>215</v>
      </c>
      <c r="G87" s="1166" t="s">
        <v>215</v>
      </c>
      <c r="H87" s="1166" t="s">
        <v>215</v>
      </c>
    </row>
    <row r="88" spans="1:8">
      <c r="A88" s="1108"/>
      <c r="B88" s="1157"/>
      <c r="C88" s="1158"/>
      <c r="E88" s="1159"/>
      <c r="F88" s="1160"/>
      <c r="G88" s="1204"/>
      <c r="H88" s="1204"/>
    </row>
    <row r="89" spans="1:8" s="1140" customFormat="1" ht="15.75">
      <c r="A89" s="1134" t="s">
        <v>239</v>
      </c>
      <c r="B89" s="1156" t="s">
        <v>240</v>
      </c>
      <c r="C89" s="1205"/>
      <c r="D89" s="1137"/>
      <c r="E89" s="1206"/>
      <c r="F89" s="1207"/>
      <c r="G89" s="1208"/>
      <c r="H89" s="1208"/>
    </row>
    <row r="90" spans="1:8">
      <c r="B90" s="1195"/>
      <c r="G90" s="1162"/>
      <c r="H90" s="1162"/>
    </row>
    <row r="91" spans="1:8" ht="165.75">
      <c r="A91" s="1161" t="s">
        <v>20</v>
      </c>
      <c r="B91" s="1195" t="s">
        <v>1724</v>
      </c>
      <c r="C91" s="1151" t="s">
        <v>235</v>
      </c>
      <c r="D91" s="1137">
        <v>35</v>
      </c>
      <c r="E91" s="1144"/>
      <c r="F91" s="1153">
        <f>D91*E91</f>
        <v>0</v>
      </c>
      <c r="G91" s="1162">
        <f>E91*35</f>
        <v>0</v>
      </c>
      <c r="H91" s="1162">
        <f>E91*0</f>
        <v>0</v>
      </c>
    </row>
    <row r="92" spans="1:8">
      <c r="E92" s="1177"/>
      <c r="G92" s="1162"/>
      <c r="H92" s="1162"/>
    </row>
    <row r="93" spans="1:8" ht="129.75" customHeight="1">
      <c r="A93" s="1161" t="s">
        <v>41</v>
      </c>
      <c r="B93" s="1195" t="s">
        <v>1725</v>
      </c>
      <c r="C93" s="1151" t="s">
        <v>235</v>
      </c>
      <c r="D93" s="1137">
        <v>22</v>
      </c>
      <c r="E93" s="1144"/>
      <c r="F93" s="1153">
        <f>D93*E93</f>
        <v>0</v>
      </c>
      <c r="G93" s="1162">
        <f>E93*22</f>
        <v>0</v>
      </c>
      <c r="H93" s="1162">
        <f>E93*0</f>
        <v>0</v>
      </c>
    </row>
    <row r="94" spans="1:8">
      <c r="B94" s="1195"/>
      <c r="E94" s="1177"/>
      <c r="G94" s="1162"/>
      <c r="H94" s="1162"/>
    </row>
    <row r="95" spans="1:8" ht="114.75">
      <c r="A95" s="1161" t="s">
        <v>49</v>
      </c>
      <c r="B95" s="1195" t="s">
        <v>1726</v>
      </c>
      <c r="C95" s="1151" t="s">
        <v>235</v>
      </c>
      <c r="D95" s="1137">
        <v>5</v>
      </c>
      <c r="E95" s="1144"/>
      <c r="F95" s="1153">
        <f>D95*E95</f>
        <v>0</v>
      </c>
      <c r="G95" s="1162">
        <f>E95*5</f>
        <v>0</v>
      </c>
      <c r="H95" s="1162">
        <f>E95*0</f>
        <v>0</v>
      </c>
    </row>
    <row r="96" spans="1:8">
      <c r="B96" s="1195"/>
      <c r="E96" s="1177"/>
      <c r="G96" s="1162"/>
      <c r="H96" s="1162"/>
    </row>
    <row r="97" spans="1:8">
      <c r="A97" s="1209"/>
      <c r="B97" s="1163" t="s">
        <v>220</v>
      </c>
      <c r="E97" s="1177"/>
      <c r="F97" s="1164">
        <f>SUM(F91:F95)</f>
        <v>0</v>
      </c>
      <c r="G97" s="1165">
        <f>SUM(G91:G95)</f>
        <v>0</v>
      </c>
      <c r="H97" s="1165">
        <f>SUM(H91:H95)</f>
        <v>0</v>
      </c>
    </row>
    <row r="98" spans="1:8" ht="15.75">
      <c r="A98" s="1134"/>
      <c r="B98" s="1156"/>
      <c r="E98" s="1177"/>
      <c r="G98" s="1162"/>
      <c r="H98" s="1162"/>
    </row>
    <row r="99" spans="1:8">
      <c r="A99" s="1209" t="s">
        <v>241</v>
      </c>
      <c r="B99" s="1163" t="s">
        <v>242</v>
      </c>
      <c r="E99" s="1177"/>
      <c r="G99" s="1162"/>
      <c r="H99" s="1162"/>
    </row>
    <row r="100" spans="1:8">
      <c r="E100" s="1177"/>
      <c r="G100" s="1162"/>
      <c r="H100" s="1162"/>
    </row>
    <row r="101" spans="1:8" ht="38.25">
      <c r="A101" s="1161" t="s">
        <v>20</v>
      </c>
      <c r="B101" s="1210" t="s">
        <v>1675</v>
      </c>
      <c r="C101" s="1151" t="s">
        <v>235</v>
      </c>
      <c r="D101" s="1137">
        <v>24</v>
      </c>
      <c r="E101" s="1144"/>
      <c r="F101" s="1153">
        <f>D101*E101</f>
        <v>0</v>
      </c>
      <c r="G101" s="1162">
        <f>E101*24</f>
        <v>0</v>
      </c>
      <c r="H101" s="1162">
        <f>E101*0</f>
        <v>0</v>
      </c>
    </row>
    <row r="102" spans="1:8">
      <c r="B102" s="1210"/>
      <c r="E102" s="1177"/>
      <c r="G102" s="1162"/>
      <c r="H102" s="1162"/>
    </row>
    <row r="103" spans="1:8" ht="38.25">
      <c r="A103" s="1161" t="s">
        <v>41</v>
      </c>
      <c r="B103" s="1210" t="s">
        <v>1676</v>
      </c>
      <c r="C103" s="1151" t="s">
        <v>235</v>
      </c>
      <c r="D103" s="1137">
        <v>16</v>
      </c>
      <c r="E103" s="1144"/>
      <c r="F103" s="1153">
        <f>D103*E103</f>
        <v>0</v>
      </c>
      <c r="G103" s="1162">
        <f>E103*16</f>
        <v>0</v>
      </c>
      <c r="H103" s="1162">
        <f>E103*0</f>
        <v>0</v>
      </c>
    </row>
    <row r="104" spans="1:8">
      <c r="B104" s="1210"/>
      <c r="E104" s="1177"/>
      <c r="G104" s="1162"/>
      <c r="H104" s="1162"/>
    </row>
    <row r="105" spans="1:8" ht="25.5">
      <c r="A105" s="1161" t="s">
        <v>49</v>
      </c>
      <c r="B105" s="1210" t="s">
        <v>1508</v>
      </c>
      <c r="E105" s="1177"/>
      <c r="G105" s="1162"/>
      <c r="H105" s="1162"/>
    </row>
    <row r="106" spans="1:8">
      <c r="B106" s="1150" t="s">
        <v>1509</v>
      </c>
      <c r="D106" s="1170"/>
      <c r="G106" s="1162"/>
      <c r="H106" s="1162"/>
    </row>
    <row r="107" spans="1:8" ht="26.25">
      <c r="B107" s="1150" t="s">
        <v>1677</v>
      </c>
      <c r="D107" s="1170"/>
      <c r="G107" s="1162"/>
      <c r="H107" s="1162"/>
    </row>
    <row r="108" spans="1:8" ht="25.5">
      <c r="B108" s="1195" t="s">
        <v>1510</v>
      </c>
      <c r="D108" s="1170"/>
      <c r="G108" s="1162"/>
      <c r="H108" s="1162"/>
    </row>
    <row r="109" spans="1:8">
      <c r="B109" s="1150" t="s">
        <v>1511</v>
      </c>
      <c r="G109" s="1162"/>
      <c r="H109" s="1162"/>
    </row>
    <row r="110" spans="1:8" ht="51">
      <c r="B110" s="1211" t="s">
        <v>1512</v>
      </c>
      <c r="C110" s="1212"/>
      <c r="D110" s="1213"/>
      <c r="E110" s="1214"/>
      <c r="F110" s="1215"/>
      <c r="G110" s="1216"/>
      <c r="H110" s="1216"/>
    </row>
    <row r="111" spans="1:8">
      <c r="B111" s="1163"/>
      <c r="C111" s="1151" t="s">
        <v>72</v>
      </c>
      <c r="D111" s="1137">
        <v>4</v>
      </c>
      <c r="E111" s="1143"/>
      <c r="F111" s="1153">
        <f>D111*E111</f>
        <v>0</v>
      </c>
      <c r="G111" s="1162">
        <f>E111*4</f>
        <v>0</v>
      </c>
      <c r="H111" s="1162">
        <f>E111*0</f>
        <v>0</v>
      </c>
    </row>
    <row r="112" spans="1:8">
      <c r="B112" s="1210"/>
      <c r="E112" s="1177"/>
      <c r="G112" s="1162"/>
      <c r="H112" s="1162"/>
    </row>
    <row r="113" spans="1:8" ht="25.5">
      <c r="A113" s="1161" t="s">
        <v>50</v>
      </c>
      <c r="B113" s="1210" t="s">
        <v>1513</v>
      </c>
      <c r="C113" s="1151" t="s">
        <v>72</v>
      </c>
      <c r="D113" s="1198">
        <v>1</v>
      </c>
      <c r="E113" s="1148"/>
      <c r="F113" s="1199">
        <f>D113*E113</f>
        <v>0</v>
      </c>
      <c r="G113" s="1162">
        <f>E113*0.9</f>
        <v>0</v>
      </c>
      <c r="H113" s="1162">
        <f>E113*0.1</f>
        <v>0</v>
      </c>
    </row>
    <row r="114" spans="1:8">
      <c r="B114" s="1210"/>
      <c r="E114" s="1177"/>
      <c r="G114" s="1162"/>
      <c r="H114" s="1162"/>
    </row>
    <row r="115" spans="1:8">
      <c r="B115" s="1163" t="s">
        <v>220</v>
      </c>
      <c r="F115" s="1164">
        <f>SUM(F101:F113)</f>
        <v>0</v>
      </c>
      <c r="G115" s="1165">
        <f>SUM(G101:G113)</f>
        <v>0</v>
      </c>
      <c r="H115" s="1165">
        <f>SUM(H101:H113)</f>
        <v>0</v>
      </c>
    </row>
    <row r="116" spans="1:8">
      <c r="G116" s="1162"/>
      <c r="H116" s="1162"/>
    </row>
    <row r="117" spans="1:8" s="1140" customFormat="1" ht="15.75">
      <c r="A117" s="1134" t="s">
        <v>243</v>
      </c>
      <c r="B117" s="1156" t="s">
        <v>244</v>
      </c>
      <c r="C117" s="1205"/>
      <c r="D117" s="1137"/>
      <c r="E117" s="1206"/>
      <c r="F117" s="1207"/>
      <c r="G117" s="1208"/>
      <c r="H117" s="1208"/>
    </row>
    <row r="118" spans="1:8">
      <c r="G118" s="1162"/>
      <c r="H118" s="1162"/>
    </row>
    <row r="119" spans="1:8" ht="26.25">
      <c r="A119" s="1161" t="s">
        <v>20</v>
      </c>
      <c r="B119" s="1194" t="s">
        <v>245</v>
      </c>
      <c r="G119" s="1162"/>
      <c r="H119" s="1162"/>
    </row>
    <row r="120" spans="1:8">
      <c r="B120" s="1150" t="s">
        <v>246</v>
      </c>
      <c r="C120" s="1151" t="s">
        <v>217</v>
      </c>
      <c r="D120" s="1137">
        <v>520</v>
      </c>
      <c r="E120" s="1143"/>
      <c r="F120" s="1153">
        <f>D120*E120</f>
        <v>0</v>
      </c>
      <c r="G120" s="1162">
        <f>E120*420</f>
        <v>0</v>
      </c>
      <c r="H120" s="1162">
        <f>E120*100</f>
        <v>0</v>
      </c>
    </row>
    <row r="121" spans="1:8">
      <c r="B121" s="1150" t="s">
        <v>1514</v>
      </c>
      <c r="C121" s="1151" t="s">
        <v>217</v>
      </c>
      <c r="D121" s="1137">
        <v>350</v>
      </c>
      <c r="E121" s="1143"/>
      <c r="F121" s="1153">
        <f>D121*E121</f>
        <v>0</v>
      </c>
      <c r="G121" s="1162">
        <f>E121*350</f>
        <v>0</v>
      </c>
      <c r="H121" s="1162">
        <f>E121*0</f>
        <v>0</v>
      </c>
    </row>
    <row r="122" spans="1:8">
      <c r="B122" s="1150" t="s">
        <v>247</v>
      </c>
      <c r="C122" s="1151" t="s">
        <v>217</v>
      </c>
      <c r="D122" s="1137">
        <v>890</v>
      </c>
      <c r="E122" s="1143"/>
      <c r="F122" s="1153">
        <f>D122*E122</f>
        <v>0</v>
      </c>
      <c r="G122" s="1162">
        <f>E122*890</f>
        <v>0</v>
      </c>
      <c r="H122" s="1162">
        <f>E122*0</f>
        <v>0</v>
      </c>
    </row>
    <row r="123" spans="1:8">
      <c r="G123" s="1162"/>
      <c r="H123" s="1162"/>
    </row>
    <row r="124" spans="1:8">
      <c r="A124" s="1161" t="s">
        <v>41</v>
      </c>
      <c r="B124" s="1150" t="s">
        <v>248</v>
      </c>
      <c r="G124" s="1162"/>
      <c r="H124" s="1162"/>
    </row>
    <row r="125" spans="1:8">
      <c r="B125" s="1150" t="s">
        <v>1515</v>
      </c>
      <c r="C125" s="1151" t="s">
        <v>217</v>
      </c>
      <c r="D125" s="1137">
        <v>380</v>
      </c>
      <c r="E125" s="1143"/>
      <c r="F125" s="1153">
        <f t="shared" ref="F125:F133" si="0">D125*E125</f>
        <v>0</v>
      </c>
      <c r="G125" s="1162">
        <f>D125*E125</f>
        <v>0</v>
      </c>
      <c r="H125" s="1162">
        <f t="shared" ref="H125:H133" si="1">E125*0</f>
        <v>0</v>
      </c>
    </row>
    <row r="126" spans="1:8">
      <c r="B126" s="1150" t="s">
        <v>1516</v>
      </c>
      <c r="C126" s="1151" t="s">
        <v>217</v>
      </c>
      <c r="D126" s="1137">
        <v>620</v>
      </c>
      <c r="E126" s="1143"/>
      <c r="F126" s="1153">
        <f t="shared" si="0"/>
        <v>0</v>
      </c>
      <c r="G126" s="1162">
        <f>E126*620</f>
        <v>0</v>
      </c>
      <c r="H126" s="1162">
        <f t="shared" si="1"/>
        <v>0</v>
      </c>
    </row>
    <row r="127" spans="1:8">
      <c r="B127" s="1150" t="s">
        <v>1517</v>
      </c>
      <c r="C127" s="1151" t="s">
        <v>217</v>
      </c>
      <c r="D127" s="1137">
        <v>340</v>
      </c>
      <c r="E127" s="1143"/>
      <c r="F127" s="1153">
        <f t="shared" si="0"/>
        <v>0</v>
      </c>
      <c r="G127" s="1162">
        <f>E127*340</f>
        <v>0</v>
      </c>
      <c r="H127" s="1162">
        <f t="shared" si="1"/>
        <v>0</v>
      </c>
    </row>
    <row r="128" spans="1:8">
      <c r="B128" s="1150" t="s">
        <v>1518</v>
      </c>
      <c r="C128" s="1151" t="s">
        <v>217</v>
      </c>
      <c r="D128" s="1137">
        <v>90</v>
      </c>
      <c r="E128" s="1143"/>
      <c r="F128" s="1153">
        <f t="shared" si="0"/>
        <v>0</v>
      </c>
      <c r="G128" s="1162">
        <f>E128*90</f>
        <v>0</v>
      </c>
      <c r="H128" s="1162">
        <f t="shared" si="1"/>
        <v>0</v>
      </c>
    </row>
    <row r="129" spans="1:8">
      <c r="B129" s="1150" t="s">
        <v>1519</v>
      </c>
      <c r="C129" s="1151" t="s">
        <v>217</v>
      </c>
      <c r="D129" s="1137">
        <v>240</v>
      </c>
      <c r="E129" s="1143"/>
      <c r="F129" s="1153">
        <f t="shared" si="0"/>
        <v>0</v>
      </c>
      <c r="G129" s="1162">
        <f>E129*240</f>
        <v>0</v>
      </c>
      <c r="H129" s="1162">
        <f t="shared" si="1"/>
        <v>0</v>
      </c>
    </row>
    <row r="130" spans="1:8">
      <c r="B130" s="1150" t="s">
        <v>1520</v>
      </c>
      <c r="C130" s="1151" t="s">
        <v>217</v>
      </c>
      <c r="D130" s="1137">
        <v>270</v>
      </c>
      <c r="E130" s="1143"/>
      <c r="F130" s="1153">
        <f t="shared" si="0"/>
        <v>0</v>
      </c>
      <c r="G130" s="1162">
        <f>E130*270</f>
        <v>0</v>
      </c>
      <c r="H130" s="1162">
        <f t="shared" si="1"/>
        <v>0</v>
      </c>
    </row>
    <row r="131" spans="1:8">
      <c r="B131" s="1150" t="s">
        <v>1521</v>
      </c>
      <c r="C131" s="1151" t="s">
        <v>217</v>
      </c>
      <c r="D131" s="1137">
        <v>280</v>
      </c>
      <c r="E131" s="1143"/>
      <c r="F131" s="1153">
        <f t="shared" si="0"/>
        <v>0</v>
      </c>
      <c r="G131" s="1162">
        <f>E131*280</f>
        <v>0</v>
      </c>
      <c r="H131" s="1162">
        <f t="shared" si="1"/>
        <v>0</v>
      </c>
    </row>
    <row r="132" spans="1:8">
      <c r="B132" s="1150" t="s">
        <v>1522</v>
      </c>
      <c r="C132" s="1151" t="s">
        <v>217</v>
      </c>
      <c r="D132" s="1137">
        <v>180</v>
      </c>
      <c r="E132" s="1143"/>
      <c r="F132" s="1153">
        <f t="shared" si="0"/>
        <v>0</v>
      </c>
      <c r="G132" s="1162">
        <f>E132*180</f>
        <v>0</v>
      </c>
      <c r="H132" s="1162">
        <f t="shared" si="1"/>
        <v>0</v>
      </c>
    </row>
    <row r="133" spans="1:8">
      <c r="B133" s="1150" t="s">
        <v>1523</v>
      </c>
      <c r="C133" s="1151" t="s">
        <v>217</v>
      </c>
      <c r="D133" s="1137">
        <v>240</v>
      </c>
      <c r="E133" s="1143"/>
      <c r="F133" s="1153">
        <f t="shared" si="0"/>
        <v>0</v>
      </c>
      <c r="G133" s="1162">
        <f>E133*240</f>
        <v>0</v>
      </c>
      <c r="H133" s="1162">
        <f t="shared" si="1"/>
        <v>0</v>
      </c>
    </row>
    <row r="134" spans="1:8">
      <c r="G134" s="1162"/>
      <c r="H134" s="1162"/>
    </row>
    <row r="135" spans="1:8">
      <c r="A135" s="1161" t="s">
        <v>49</v>
      </c>
      <c r="B135" s="1150" t="s">
        <v>249</v>
      </c>
      <c r="G135" s="1162"/>
      <c r="H135" s="1162"/>
    </row>
    <row r="136" spans="1:8">
      <c r="B136" s="1150" t="s">
        <v>250</v>
      </c>
      <c r="C136" s="1151" t="s">
        <v>235</v>
      </c>
      <c r="D136" s="1137">
        <v>35</v>
      </c>
      <c r="E136" s="1143"/>
      <c r="F136" s="1153">
        <f>D136*E136</f>
        <v>0</v>
      </c>
      <c r="G136" s="1162">
        <f>D136*E136</f>
        <v>0</v>
      </c>
      <c r="H136" s="1162">
        <f>E136*0</f>
        <v>0</v>
      </c>
    </row>
    <row r="137" spans="1:8">
      <c r="B137" s="1150" t="s">
        <v>251</v>
      </c>
      <c r="C137" s="1151" t="s">
        <v>235</v>
      </c>
      <c r="D137" s="1137">
        <v>64</v>
      </c>
      <c r="E137" s="1143"/>
      <c r="F137" s="1153">
        <f>D137*E137</f>
        <v>0</v>
      </c>
      <c r="G137" s="1162">
        <f>E137*64</f>
        <v>0</v>
      </c>
      <c r="H137" s="1162">
        <f>E137*0</f>
        <v>0</v>
      </c>
    </row>
    <row r="138" spans="1:8">
      <c r="G138" s="1162"/>
      <c r="H138" s="1162"/>
    </row>
    <row r="139" spans="1:8">
      <c r="A139" s="1161" t="s">
        <v>50</v>
      </c>
      <c r="B139" s="1217" t="s">
        <v>1524</v>
      </c>
      <c r="G139" s="1162"/>
      <c r="H139" s="1162"/>
    </row>
    <row r="140" spans="1:8">
      <c r="B140" s="1150" t="s">
        <v>1525</v>
      </c>
      <c r="C140" s="1151" t="s">
        <v>235</v>
      </c>
      <c r="D140" s="1137">
        <v>20</v>
      </c>
      <c r="E140" s="1143"/>
      <c r="F140" s="1153">
        <f>D140*E140</f>
        <v>0</v>
      </c>
      <c r="G140" s="1162">
        <f>E140*20</f>
        <v>0</v>
      </c>
      <c r="H140" s="1162">
        <f>E140*0</f>
        <v>0</v>
      </c>
    </row>
    <row r="141" spans="1:8">
      <c r="B141" s="1150" t="s">
        <v>1526</v>
      </c>
      <c r="C141" s="1151" t="s">
        <v>235</v>
      </c>
      <c r="D141" s="1137">
        <v>24</v>
      </c>
      <c r="E141" s="1143"/>
      <c r="F141" s="1153">
        <f>D141*E141</f>
        <v>0</v>
      </c>
      <c r="G141" s="1162">
        <f>E141*24</f>
        <v>0</v>
      </c>
      <c r="H141" s="1162">
        <f>E141*0</f>
        <v>0</v>
      </c>
    </row>
    <row r="142" spans="1:8">
      <c r="B142" s="1150" t="s">
        <v>1527</v>
      </c>
      <c r="C142" s="1151" t="s">
        <v>235</v>
      </c>
      <c r="D142" s="1137">
        <v>16</v>
      </c>
      <c r="E142" s="1143"/>
      <c r="F142" s="1153">
        <f>D142*E142</f>
        <v>0</v>
      </c>
      <c r="G142" s="1162">
        <f>E142*14</f>
        <v>0</v>
      </c>
      <c r="H142" s="1162">
        <f>E142*2</f>
        <v>0</v>
      </c>
    </row>
    <row r="143" spans="1:8">
      <c r="G143" s="1162"/>
      <c r="H143" s="1162"/>
    </row>
    <row r="144" spans="1:8">
      <c r="B144" s="1163" t="s">
        <v>220</v>
      </c>
      <c r="F144" s="1164">
        <f>SUM(F120:F142)</f>
        <v>0</v>
      </c>
      <c r="G144" s="1165">
        <f>SUM(G120:G142)</f>
        <v>0</v>
      </c>
      <c r="H144" s="1165">
        <f>SUM(H120:H142)</f>
        <v>0</v>
      </c>
    </row>
    <row r="146" spans="1:6" s="1140" customFormat="1" ht="15.75">
      <c r="A146" s="1134" t="s">
        <v>252</v>
      </c>
      <c r="B146" s="1156" t="s">
        <v>253</v>
      </c>
      <c r="C146" s="1205"/>
      <c r="D146" s="1137"/>
      <c r="E146" s="1206"/>
      <c r="F146" s="1207"/>
    </row>
    <row r="148" spans="1:6" ht="76.5">
      <c r="A148" s="1161" t="s">
        <v>20</v>
      </c>
      <c r="B148" s="1195" t="s">
        <v>1678</v>
      </c>
      <c r="D148" s="1170"/>
    </row>
    <row r="149" spans="1:6">
      <c r="D149" s="1170"/>
    </row>
    <row r="150" spans="1:6" ht="30">
      <c r="B150" s="1218" t="s">
        <v>1528</v>
      </c>
      <c r="D150" s="1170"/>
    </row>
    <row r="151" spans="1:6">
      <c r="B151" s="1150" t="s">
        <v>254</v>
      </c>
      <c r="D151" s="1170"/>
    </row>
    <row r="152" spans="1:6">
      <c r="B152" s="1150" t="s">
        <v>1529</v>
      </c>
      <c r="D152" s="1170"/>
    </row>
    <row r="153" spans="1:6">
      <c r="B153" s="1150" t="s">
        <v>1530</v>
      </c>
      <c r="D153" s="1170"/>
    </row>
    <row r="154" spans="1:6">
      <c r="B154" s="1150" t="s">
        <v>257</v>
      </c>
      <c r="D154" s="1170"/>
    </row>
    <row r="155" spans="1:6">
      <c r="B155" s="1150" t="s">
        <v>1531</v>
      </c>
      <c r="D155" s="1170"/>
    </row>
    <row r="156" spans="1:6">
      <c r="B156" s="1150" t="s">
        <v>1532</v>
      </c>
      <c r="D156" s="1170"/>
    </row>
    <row r="157" spans="1:6">
      <c r="B157" s="1150" t="s">
        <v>258</v>
      </c>
      <c r="D157" s="1170"/>
    </row>
    <row r="158" spans="1:6">
      <c r="B158" s="1150" t="s">
        <v>259</v>
      </c>
      <c r="D158" s="1170"/>
    </row>
    <row r="159" spans="1:6">
      <c r="B159" s="1150" t="s">
        <v>260</v>
      </c>
      <c r="D159" s="1170"/>
    </row>
    <row r="160" spans="1:6">
      <c r="B160" s="1150" t="s">
        <v>261</v>
      </c>
      <c r="D160" s="1170"/>
    </row>
    <row r="161" spans="1:8">
      <c r="B161" s="1150" t="s">
        <v>262</v>
      </c>
      <c r="D161" s="1170"/>
    </row>
    <row r="162" spans="1:8">
      <c r="B162" s="1150" t="s">
        <v>263</v>
      </c>
    </row>
    <row r="163" spans="1:8">
      <c r="B163" s="1163"/>
      <c r="C163" s="1151" t="s">
        <v>72</v>
      </c>
      <c r="D163" s="1137">
        <v>1</v>
      </c>
      <c r="E163" s="1143"/>
      <c r="F163" s="1153">
        <f>D163*E163</f>
        <v>0</v>
      </c>
      <c r="G163" s="1162">
        <f>E163*1</f>
        <v>0</v>
      </c>
      <c r="H163" s="1162">
        <f>E166*0</f>
        <v>0</v>
      </c>
    </row>
    <row r="164" spans="1:8" ht="51">
      <c r="A164" s="1161" t="s">
        <v>41</v>
      </c>
      <c r="B164" s="1195" t="s">
        <v>1679</v>
      </c>
      <c r="D164" s="1170"/>
      <c r="G164" s="1162"/>
      <c r="H164" s="1162"/>
    </row>
    <row r="165" spans="1:8">
      <c r="D165" s="1170"/>
      <c r="G165" s="1162"/>
      <c r="H165" s="1162"/>
    </row>
    <row r="166" spans="1:8">
      <c r="B166" s="1150" t="s">
        <v>254</v>
      </c>
      <c r="D166" s="1170"/>
      <c r="G166" s="1162"/>
      <c r="H166" s="1162"/>
    </row>
    <row r="167" spans="1:8">
      <c r="B167" s="1150" t="s">
        <v>255</v>
      </c>
      <c r="D167" s="1170"/>
      <c r="G167" s="1162"/>
      <c r="H167" s="1162"/>
    </row>
    <row r="168" spans="1:8">
      <c r="B168" s="1150" t="s">
        <v>256</v>
      </c>
      <c r="D168" s="1170"/>
      <c r="G168" s="1162"/>
      <c r="H168" s="1162"/>
    </row>
    <row r="169" spans="1:8">
      <c r="B169" s="1150" t="s">
        <v>257</v>
      </c>
      <c r="D169" s="1170"/>
      <c r="G169" s="1162"/>
      <c r="H169" s="1162"/>
    </row>
    <row r="170" spans="1:8">
      <c r="B170" s="1150" t="s">
        <v>1533</v>
      </c>
      <c r="D170" s="1170"/>
      <c r="G170" s="1162"/>
      <c r="H170" s="1162"/>
    </row>
    <row r="171" spans="1:8">
      <c r="B171" s="1150" t="s">
        <v>1534</v>
      </c>
      <c r="D171" s="1170"/>
      <c r="G171" s="1162"/>
      <c r="H171" s="1162"/>
    </row>
    <row r="172" spans="1:8">
      <c r="B172" s="1150" t="s">
        <v>1535</v>
      </c>
      <c r="D172" s="1170"/>
      <c r="G172" s="1162"/>
      <c r="H172" s="1162"/>
    </row>
    <row r="173" spans="1:8">
      <c r="B173" s="1150" t="s">
        <v>259</v>
      </c>
      <c r="D173" s="1170"/>
      <c r="G173" s="1162"/>
      <c r="H173" s="1162"/>
    </row>
    <row r="174" spans="1:8">
      <c r="B174" s="1150" t="s">
        <v>1536</v>
      </c>
      <c r="D174" s="1170"/>
      <c r="G174" s="1162"/>
      <c r="H174" s="1162"/>
    </row>
    <row r="175" spans="1:8">
      <c r="B175" s="1150" t="s">
        <v>261</v>
      </c>
      <c r="D175" s="1170"/>
      <c r="G175" s="1162"/>
      <c r="H175" s="1162"/>
    </row>
    <row r="176" spans="1:8">
      <c r="B176" s="1150" t="s">
        <v>262</v>
      </c>
      <c r="D176" s="1170"/>
      <c r="G176" s="1162"/>
      <c r="H176" s="1162"/>
    </row>
    <row r="177" spans="1:8">
      <c r="B177" s="1150" t="s">
        <v>263</v>
      </c>
      <c r="G177" s="1162"/>
      <c r="H177" s="1162"/>
    </row>
    <row r="178" spans="1:8">
      <c r="B178" s="1163"/>
      <c r="C178" s="1151" t="s">
        <v>72</v>
      </c>
      <c r="D178" s="1137">
        <v>3</v>
      </c>
      <c r="E178" s="1143"/>
      <c r="F178" s="1153">
        <f>D178*E178</f>
        <v>0</v>
      </c>
      <c r="G178" s="1162">
        <f>E178*D178</f>
        <v>0</v>
      </c>
      <c r="H178" s="1162">
        <f>E178*0</f>
        <v>0</v>
      </c>
    </row>
    <row r="179" spans="1:8">
      <c r="B179" s="1163" t="s">
        <v>220</v>
      </c>
      <c r="F179" s="1164">
        <f>F163+F178</f>
        <v>0</v>
      </c>
      <c r="G179" s="1165">
        <f>G163+G178</f>
        <v>0</v>
      </c>
      <c r="H179" s="1165">
        <f>H163+H178</f>
        <v>0</v>
      </c>
    </row>
    <row r="180" spans="1:8">
      <c r="B180" s="1163"/>
      <c r="G180" s="1162"/>
      <c r="H180" s="1162"/>
    </row>
    <row r="181" spans="1:8">
      <c r="A181" s="1209" t="s">
        <v>264</v>
      </c>
      <c r="B181" s="1163" t="s">
        <v>1537</v>
      </c>
      <c r="G181" s="1162"/>
      <c r="H181" s="1162"/>
    </row>
    <row r="182" spans="1:8">
      <c r="G182" s="1162"/>
      <c r="H182" s="1162"/>
    </row>
    <row r="183" spans="1:8" ht="63.75">
      <c r="A183" s="1161" t="s">
        <v>20</v>
      </c>
      <c r="B183" s="1219" t="s">
        <v>1538</v>
      </c>
      <c r="C183" s="1151" t="s">
        <v>10</v>
      </c>
      <c r="D183" s="1137">
        <v>4</v>
      </c>
      <c r="E183" s="1143"/>
      <c r="F183" s="1153">
        <f>E183*D183</f>
        <v>0</v>
      </c>
      <c r="G183" s="1162">
        <f>E183*D183</f>
        <v>0</v>
      </c>
      <c r="H183" s="1162">
        <f>E181*0</f>
        <v>0</v>
      </c>
    </row>
    <row r="184" spans="1:8">
      <c r="F184" s="1153">
        <f>SUM(F183)</f>
        <v>0</v>
      </c>
      <c r="G184" s="1165">
        <f>G183</f>
        <v>0</v>
      </c>
      <c r="H184" s="1165">
        <f>SUM(H178:H183)</f>
        <v>0</v>
      </c>
    </row>
    <row r="185" spans="1:8">
      <c r="A185" s="1209" t="s">
        <v>1539</v>
      </c>
      <c r="B185" s="1163" t="s">
        <v>1540</v>
      </c>
      <c r="G185" s="1162"/>
      <c r="H185" s="1162"/>
    </row>
    <row r="186" spans="1:8">
      <c r="G186" s="1162"/>
      <c r="H186" s="1162"/>
    </row>
    <row r="187" spans="1:8" ht="50.45" customHeight="1">
      <c r="A187" s="1161" t="s">
        <v>20</v>
      </c>
      <c r="B187" s="1150" t="s">
        <v>265</v>
      </c>
      <c r="C187" s="1151" t="s">
        <v>217</v>
      </c>
      <c r="D187" s="1137">
        <v>1240</v>
      </c>
      <c r="E187" s="1143"/>
      <c r="F187" s="1153">
        <f>E187*D187</f>
        <v>0</v>
      </c>
      <c r="G187" s="1162">
        <f>E187*1160</f>
        <v>0</v>
      </c>
      <c r="H187" s="1162">
        <f>E187*80</f>
        <v>0</v>
      </c>
    </row>
    <row r="188" spans="1:8">
      <c r="G188" s="1162"/>
      <c r="H188" s="1162"/>
    </row>
    <row r="189" spans="1:8" ht="52.9" customHeight="1">
      <c r="A189" s="1161" t="s">
        <v>41</v>
      </c>
      <c r="B189" s="1195" t="s">
        <v>266</v>
      </c>
      <c r="C189" s="1151" t="s">
        <v>235</v>
      </c>
      <c r="D189" s="1137">
        <v>35</v>
      </c>
      <c r="E189" s="1143"/>
      <c r="F189" s="1153">
        <f>E189*D189</f>
        <v>0</v>
      </c>
      <c r="G189" s="1162">
        <f>E189*35</f>
        <v>0</v>
      </c>
      <c r="H189" s="1162">
        <f>E187*0</f>
        <v>0</v>
      </c>
    </row>
    <row r="190" spans="1:8" ht="13.15" customHeight="1">
      <c r="G190" s="1162"/>
      <c r="H190" s="1162"/>
    </row>
    <row r="191" spans="1:8">
      <c r="A191" s="1161" t="s">
        <v>49</v>
      </c>
      <c r="B191" s="1150" t="s">
        <v>267</v>
      </c>
      <c r="C191" s="1151" t="s">
        <v>235</v>
      </c>
      <c r="D191" s="1137">
        <v>84</v>
      </c>
      <c r="E191" s="1143"/>
      <c r="F191" s="1153">
        <f>E191*D191</f>
        <v>0</v>
      </c>
      <c r="G191" s="1162">
        <f>E191*84</f>
        <v>0</v>
      </c>
      <c r="H191" s="1162">
        <f>E191*0</f>
        <v>0</v>
      </c>
    </row>
    <row r="192" spans="1:8">
      <c r="B192" s="1163" t="s">
        <v>220</v>
      </c>
      <c r="F192" s="1164">
        <f>SUM(F187:F191)</f>
        <v>0</v>
      </c>
      <c r="G192" s="1165">
        <f>SUM(G187:G191)</f>
        <v>0</v>
      </c>
      <c r="H192" s="1165">
        <f>SUM(H183:H191)</f>
        <v>0</v>
      </c>
    </row>
    <row r="193" spans="1:8">
      <c r="B193" s="1163"/>
      <c r="F193" s="1164"/>
      <c r="G193" s="1162"/>
      <c r="H193" s="1162"/>
    </row>
    <row r="194" spans="1:8">
      <c r="B194" s="1163"/>
      <c r="F194" s="1164"/>
      <c r="G194" s="1162"/>
      <c r="H194" s="1162"/>
    </row>
    <row r="195" spans="1:8" ht="15.75">
      <c r="A195" s="1134" t="s">
        <v>1541</v>
      </c>
      <c r="B195" s="1156" t="s">
        <v>268</v>
      </c>
      <c r="G195" s="1162"/>
      <c r="H195" s="1162"/>
    </row>
    <row r="196" spans="1:8">
      <c r="G196" s="1162"/>
      <c r="H196" s="1162"/>
    </row>
    <row r="197" spans="1:8" s="1113" customFormat="1">
      <c r="A197" s="1108" t="s">
        <v>210</v>
      </c>
      <c r="B197" s="1109" t="s">
        <v>211</v>
      </c>
      <c r="C197" s="1108" t="s">
        <v>212</v>
      </c>
      <c r="D197" s="1110" t="s">
        <v>213</v>
      </c>
      <c r="E197" s="1111" t="s">
        <v>214</v>
      </c>
      <c r="F197" s="1121" t="s">
        <v>215</v>
      </c>
      <c r="G197" s="1166" t="s">
        <v>215</v>
      </c>
      <c r="H197" s="1166" t="s">
        <v>215</v>
      </c>
    </row>
    <row r="198" spans="1:8" ht="26.25">
      <c r="A198" s="1161" t="s">
        <v>20</v>
      </c>
      <c r="B198" s="1150" t="s">
        <v>269</v>
      </c>
      <c r="C198" s="1151" t="s">
        <v>72</v>
      </c>
      <c r="D198" s="1137">
        <v>1</v>
      </c>
      <c r="E198" s="1143"/>
      <c r="F198" s="1153">
        <f>D198*E198</f>
        <v>0</v>
      </c>
      <c r="G198" s="1162">
        <f>E198*0.95</f>
        <v>0</v>
      </c>
      <c r="H198" s="1162">
        <f>E198*0.05</f>
        <v>0</v>
      </c>
    </row>
    <row r="199" spans="1:8">
      <c r="G199" s="1162"/>
      <c r="H199" s="1162"/>
    </row>
    <row r="200" spans="1:8" ht="26.25">
      <c r="A200" s="1161" t="s">
        <v>41</v>
      </c>
      <c r="B200" s="1150" t="s">
        <v>270</v>
      </c>
      <c r="C200" s="1151" t="s">
        <v>40</v>
      </c>
      <c r="D200" s="1137">
        <v>50</v>
      </c>
      <c r="E200" s="1143"/>
      <c r="F200" s="1153">
        <f>D200*E200</f>
        <v>0</v>
      </c>
      <c r="G200" s="1162">
        <f>E200*45</f>
        <v>0</v>
      </c>
      <c r="H200" s="1162">
        <f>E200*5</f>
        <v>0</v>
      </c>
    </row>
    <row r="201" spans="1:8">
      <c r="G201" s="1162"/>
      <c r="H201" s="1162"/>
    </row>
    <row r="202" spans="1:8">
      <c r="A202" s="1161" t="s">
        <v>49</v>
      </c>
      <c r="B202" s="1150" t="s">
        <v>271</v>
      </c>
      <c r="C202" s="1151" t="s">
        <v>72</v>
      </c>
      <c r="D202" s="1137">
        <v>1</v>
      </c>
      <c r="E202" s="1143"/>
      <c r="F202" s="1153">
        <f>D202*E202</f>
        <v>0</v>
      </c>
      <c r="G202" s="1162">
        <f>E202*0.9</f>
        <v>0</v>
      </c>
      <c r="H202" s="1162">
        <f>E202*0.1</f>
        <v>0</v>
      </c>
    </row>
    <row r="203" spans="1:8">
      <c r="G203" s="1162"/>
      <c r="H203" s="1162"/>
    </row>
    <row r="204" spans="1:8">
      <c r="B204" s="1163" t="s">
        <v>220</v>
      </c>
      <c r="F204" s="1164">
        <f>SUM(F198:F202)</f>
        <v>0</v>
      </c>
      <c r="G204" s="1165">
        <f>SUM(G198:G202)</f>
        <v>0</v>
      </c>
      <c r="H204" s="1165">
        <f>SUM(H198:H202)</f>
        <v>0</v>
      </c>
    </row>
    <row r="205" spans="1:8">
      <c r="B205" s="1163"/>
      <c r="F205" s="1164"/>
      <c r="G205" s="1165"/>
      <c r="H205" s="1165"/>
    </row>
    <row r="206" spans="1:8" ht="15.75">
      <c r="A206" s="1134" t="s">
        <v>1542</v>
      </c>
      <c r="B206" s="1156" t="s">
        <v>1543</v>
      </c>
      <c r="G206" s="1162"/>
      <c r="H206" s="1162"/>
    </row>
    <row r="207" spans="1:8" s="1113" customFormat="1">
      <c r="A207" s="1108" t="s">
        <v>210</v>
      </c>
      <c r="B207" s="1109" t="s">
        <v>211</v>
      </c>
      <c r="C207" s="1108" t="s">
        <v>212</v>
      </c>
      <c r="D207" s="1110" t="s">
        <v>213</v>
      </c>
      <c r="E207" s="1111" t="s">
        <v>214</v>
      </c>
      <c r="F207" s="1121" t="s">
        <v>215</v>
      </c>
      <c r="G207" s="1166" t="s">
        <v>215</v>
      </c>
      <c r="H207" s="1166" t="s">
        <v>215</v>
      </c>
    </row>
    <row r="208" spans="1:8">
      <c r="A208" s="1108"/>
      <c r="B208" s="1157"/>
      <c r="C208" s="1158"/>
      <c r="E208" s="1159"/>
      <c r="F208" s="1160"/>
      <c r="G208" s="1204"/>
      <c r="H208" s="1204"/>
    </row>
    <row r="209" spans="1:8" ht="51.75">
      <c r="A209" s="1161" t="s">
        <v>20</v>
      </c>
      <c r="B209" s="1150" t="s">
        <v>1544</v>
      </c>
      <c r="C209" s="1151" t="s">
        <v>10</v>
      </c>
      <c r="D209" s="1137">
        <v>10</v>
      </c>
      <c r="E209" s="1143"/>
      <c r="F209" s="1153">
        <f>D209*E209</f>
        <v>0</v>
      </c>
      <c r="G209" s="1162">
        <f>E209*10</f>
        <v>0</v>
      </c>
      <c r="H209" s="1162">
        <f>E209*0</f>
        <v>0</v>
      </c>
    </row>
    <row r="210" spans="1:8">
      <c r="G210" s="1162"/>
      <c r="H210" s="1162"/>
    </row>
    <row r="211" spans="1:8" ht="29.25" customHeight="1">
      <c r="A211" s="1161" t="s">
        <v>41</v>
      </c>
      <c r="B211" s="1150" t="s">
        <v>1545</v>
      </c>
      <c r="C211" s="1151" t="s">
        <v>217</v>
      </c>
      <c r="D211" s="1137">
        <v>370</v>
      </c>
      <c r="E211" s="1143"/>
      <c r="F211" s="1153">
        <f>D211*E211</f>
        <v>0</v>
      </c>
      <c r="G211" s="1162">
        <f>E211*370</f>
        <v>0</v>
      </c>
      <c r="H211" s="1162">
        <f>E211*0</f>
        <v>0</v>
      </c>
    </row>
    <row r="212" spans="1:8">
      <c r="G212" s="1162"/>
      <c r="H212" s="1162"/>
    </row>
    <row r="213" spans="1:8" ht="26.25">
      <c r="A213" s="1161" t="s">
        <v>49</v>
      </c>
      <c r="B213" s="1150" t="s">
        <v>1546</v>
      </c>
      <c r="C213" s="1151" t="s">
        <v>72</v>
      </c>
      <c r="D213" s="1137">
        <v>1</v>
      </c>
      <c r="E213" s="1143"/>
      <c r="F213" s="1153">
        <f>D213*E213</f>
        <v>0</v>
      </c>
      <c r="G213" s="1162">
        <f>E213*1</f>
        <v>0</v>
      </c>
      <c r="H213" s="1162">
        <f>E213*0</f>
        <v>0</v>
      </c>
    </row>
    <row r="214" spans="1:8">
      <c r="G214" s="1162"/>
      <c r="H214" s="1162"/>
    </row>
    <row r="215" spans="1:8">
      <c r="B215" s="1163" t="s">
        <v>220</v>
      </c>
      <c r="F215" s="1164">
        <f>SUM(F209:F214)</f>
        <v>0</v>
      </c>
      <c r="G215" s="1165">
        <f>SUM(G209:G214)</f>
        <v>0</v>
      </c>
      <c r="H215" s="1165">
        <f>SUM(H209:H214)</f>
        <v>0</v>
      </c>
    </row>
    <row r="216" spans="1:8">
      <c r="G216" s="1162"/>
      <c r="H216" s="1162"/>
    </row>
    <row r="217" spans="1:8" ht="15.75">
      <c r="A217" s="1134" t="s">
        <v>1547</v>
      </c>
      <c r="B217" s="1156" t="s">
        <v>273</v>
      </c>
      <c r="G217" s="1162"/>
      <c r="H217" s="1162"/>
    </row>
    <row r="218" spans="1:8" s="1113" customFormat="1">
      <c r="A218" s="1108" t="s">
        <v>210</v>
      </c>
      <c r="B218" s="1109" t="s">
        <v>211</v>
      </c>
      <c r="C218" s="1108" t="s">
        <v>212</v>
      </c>
      <c r="D218" s="1110" t="s">
        <v>213</v>
      </c>
      <c r="E218" s="1111" t="s">
        <v>214</v>
      </c>
      <c r="F218" s="1121" t="s">
        <v>215</v>
      </c>
      <c r="G218" s="1166" t="s">
        <v>215</v>
      </c>
      <c r="H218" s="1166" t="s">
        <v>215</v>
      </c>
    </row>
    <row r="219" spans="1:8">
      <c r="A219" s="1108"/>
      <c r="B219" s="1157"/>
      <c r="C219" s="1158"/>
      <c r="E219" s="1159"/>
      <c r="F219" s="1160"/>
      <c r="G219" s="1204"/>
      <c r="H219" s="1204"/>
    </row>
    <row r="220" spans="1:8">
      <c r="A220" s="1161" t="s">
        <v>20</v>
      </c>
      <c r="B220" s="1150" t="s">
        <v>274</v>
      </c>
      <c r="C220" s="1151" t="s">
        <v>217</v>
      </c>
      <c r="D220" s="1137">
        <v>762</v>
      </c>
      <c r="E220" s="1143"/>
      <c r="F220" s="1153">
        <f>D220*E220</f>
        <v>0</v>
      </c>
      <c r="G220" s="1162">
        <f>E220*662</f>
        <v>0</v>
      </c>
      <c r="H220" s="1162">
        <f>E220*100</f>
        <v>0</v>
      </c>
    </row>
    <row r="221" spans="1:8">
      <c r="G221" s="1162"/>
      <c r="H221" s="1162"/>
    </row>
    <row r="222" spans="1:8" ht="26.25">
      <c r="A222" s="1161" t="s">
        <v>41</v>
      </c>
      <c r="B222" s="1150" t="s">
        <v>275</v>
      </c>
      <c r="C222" s="1151" t="s">
        <v>72</v>
      </c>
      <c r="D222" s="1137">
        <v>1</v>
      </c>
      <c r="E222" s="1143"/>
      <c r="F222" s="1153">
        <f>D222*E222</f>
        <v>0</v>
      </c>
      <c r="G222" s="1162">
        <f>E222*0.9</f>
        <v>0</v>
      </c>
      <c r="H222" s="1162">
        <f>E222*0.1</f>
        <v>0</v>
      </c>
    </row>
    <row r="223" spans="1:8">
      <c r="G223" s="1162"/>
      <c r="H223" s="1162"/>
    </row>
    <row r="224" spans="1:8">
      <c r="A224" s="1161" t="s">
        <v>49</v>
      </c>
      <c r="B224" s="1150" t="s">
        <v>276</v>
      </c>
      <c r="C224" s="1151" t="s">
        <v>72</v>
      </c>
      <c r="D224" s="1137">
        <v>1</v>
      </c>
      <c r="E224" s="1143"/>
      <c r="F224" s="1153">
        <f>D224*E224</f>
        <v>0</v>
      </c>
      <c r="G224" s="1162">
        <f>E224*1</f>
        <v>0</v>
      </c>
      <c r="H224" s="1162">
        <f>E224*0</f>
        <v>0</v>
      </c>
    </row>
    <row r="225" spans="1:8">
      <c r="B225" s="1150" t="s">
        <v>277</v>
      </c>
      <c r="G225" s="1162"/>
      <c r="H225" s="1162"/>
    </row>
    <row r="226" spans="1:8" s="1193" customFormat="1">
      <c r="A226" s="1161"/>
      <c r="B226" s="1150" t="s">
        <v>278</v>
      </c>
      <c r="C226" s="1151"/>
      <c r="D226" s="1137"/>
      <c r="E226" s="1152"/>
      <c r="F226" s="1153"/>
      <c r="G226" s="1162"/>
      <c r="H226" s="1162"/>
    </row>
    <row r="227" spans="1:8">
      <c r="G227" s="1162"/>
      <c r="H227" s="1162"/>
    </row>
    <row r="228" spans="1:8">
      <c r="A228" s="1161" t="s">
        <v>50</v>
      </c>
      <c r="B228" s="1150" t="s">
        <v>1548</v>
      </c>
      <c r="C228" s="1151" t="s">
        <v>116</v>
      </c>
      <c r="D228" s="1137">
        <v>16</v>
      </c>
      <c r="E228" s="1143"/>
      <c r="F228" s="1153">
        <f>D228*E228</f>
        <v>0</v>
      </c>
      <c r="G228" s="1162">
        <f>E228*16</f>
        <v>0</v>
      </c>
      <c r="H228" s="1162">
        <f>E228*0</f>
        <v>0</v>
      </c>
    </row>
    <row r="229" spans="1:8">
      <c r="G229" s="1162"/>
      <c r="H229" s="1162"/>
    </row>
    <row r="230" spans="1:8">
      <c r="B230" s="1163" t="s">
        <v>220</v>
      </c>
      <c r="F230" s="1164">
        <f>SUM(F220:F228)</f>
        <v>0</v>
      </c>
      <c r="G230" s="1165">
        <f>SUM(G220:G228)</f>
        <v>0</v>
      </c>
      <c r="H230" s="1165">
        <f>SUM(H220:H228)</f>
        <v>0</v>
      </c>
    </row>
    <row r="232" spans="1:8">
      <c r="B232" s="1220"/>
      <c r="D232" s="1170"/>
      <c r="E232" s="1177"/>
    </row>
    <row r="233" spans="1:8">
      <c r="F233" s="1164"/>
    </row>
    <row r="234" spans="1:8">
      <c r="F234" s="1164"/>
    </row>
    <row r="235" spans="1:8" ht="20.25">
      <c r="B235" s="1221" t="s">
        <v>99</v>
      </c>
      <c r="F235" s="1164"/>
    </row>
    <row r="236" spans="1:8">
      <c r="B236" s="1163" t="s">
        <v>208</v>
      </c>
      <c r="F236" s="1164"/>
    </row>
    <row r="237" spans="1:8">
      <c r="B237" s="1163"/>
      <c r="F237" s="1164"/>
    </row>
    <row r="238" spans="1:8">
      <c r="A238" s="1209" t="s">
        <v>1494</v>
      </c>
      <c r="B238" s="1163" t="s">
        <v>170</v>
      </c>
      <c r="C238" s="1222"/>
      <c r="E238" s="1223"/>
      <c r="F238" s="1164">
        <f>F13</f>
        <v>0</v>
      </c>
      <c r="G238" s="1165">
        <f>G13</f>
        <v>0</v>
      </c>
      <c r="H238" s="1165">
        <f>H13</f>
        <v>0</v>
      </c>
    </row>
    <row r="239" spans="1:8">
      <c r="F239" s="1164"/>
      <c r="G239" s="1165"/>
      <c r="H239" s="1165"/>
    </row>
    <row r="240" spans="1:8">
      <c r="A240" s="1209" t="s">
        <v>1495</v>
      </c>
      <c r="B240" s="1163" t="s">
        <v>100</v>
      </c>
      <c r="C240" s="1222"/>
      <c r="E240" s="1223"/>
      <c r="F240" s="1164">
        <f>F85</f>
        <v>0</v>
      </c>
      <c r="G240" s="1165">
        <f>G85</f>
        <v>0</v>
      </c>
      <c r="H240" s="1165">
        <f>H85</f>
        <v>0</v>
      </c>
    </row>
    <row r="241" spans="1:8">
      <c r="F241" s="1164"/>
      <c r="G241" s="1165"/>
      <c r="H241" s="1165"/>
    </row>
    <row r="242" spans="1:8" s="1193" customFormat="1">
      <c r="A242" s="1209" t="s">
        <v>1507</v>
      </c>
      <c r="B242" s="1163" t="s">
        <v>238</v>
      </c>
      <c r="C242" s="1222"/>
      <c r="D242" s="1137"/>
      <c r="E242" s="1223"/>
      <c r="F242" s="1164"/>
      <c r="G242" s="1165"/>
      <c r="H242" s="1165"/>
    </row>
    <row r="243" spans="1:8">
      <c r="F243" s="1164"/>
      <c r="G243" s="1165"/>
      <c r="H243" s="1165"/>
    </row>
    <row r="244" spans="1:8" s="1193" customFormat="1">
      <c r="A244" s="1161" t="s">
        <v>239</v>
      </c>
      <c r="B244" s="1150" t="s">
        <v>240</v>
      </c>
      <c r="C244" s="1151"/>
      <c r="D244" s="1137"/>
      <c r="E244" s="1152"/>
      <c r="F244" s="1164">
        <f>F97</f>
        <v>0</v>
      </c>
      <c r="G244" s="1165">
        <f>G97</f>
        <v>0</v>
      </c>
      <c r="H244" s="1165">
        <f>H97</f>
        <v>0</v>
      </c>
    </row>
    <row r="245" spans="1:8" s="1193" customFormat="1">
      <c r="A245" s="1161" t="s">
        <v>241</v>
      </c>
      <c r="B245" s="1150" t="s">
        <v>242</v>
      </c>
      <c r="C245" s="1151"/>
      <c r="D245" s="1137"/>
      <c r="E245" s="1152"/>
      <c r="F245" s="1164">
        <f>F115</f>
        <v>0</v>
      </c>
      <c r="G245" s="1165">
        <f>G115</f>
        <v>0</v>
      </c>
      <c r="H245" s="1165">
        <f>H115</f>
        <v>0</v>
      </c>
    </row>
    <row r="246" spans="1:8" s="1193" customFormat="1">
      <c r="A246" s="1161" t="s">
        <v>243</v>
      </c>
      <c r="B246" s="1150" t="s">
        <v>244</v>
      </c>
      <c r="C246" s="1151"/>
      <c r="D246" s="1137"/>
      <c r="E246" s="1152"/>
      <c r="F246" s="1164">
        <f>F144</f>
        <v>0</v>
      </c>
      <c r="G246" s="1165">
        <f>G144</f>
        <v>0</v>
      </c>
      <c r="H246" s="1165">
        <f>H144</f>
        <v>0</v>
      </c>
    </row>
    <row r="247" spans="1:8" s="1193" customFormat="1">
      <c r="A247" s="1161" t="s">
        <v>252</v>
      </c>
      <c r="B247" s="1150" t="s">
        <v>253</v>
      </c>
      <c r="C247" s="1151"/>
      <c r="D247" s="1137"/>
      <c r="E247" s="1152"/>
      <c r="F247" s="1164">
        <f>F179</f>
        <v>0</v>
      </c>
      <c r="G247" s="1165">
        <f>G179</f>
        <v>0</v>
      </c>
      <c r="H247" s="1165">
        <f>H179</f>
        <v>0</v>
      </c>
    </row>
    <row r="248" spans="1:8" s="1193" customFormat="1">
      <c r="A248" s="1161" t="s">
        <v>264</v>
      </c>
      <c r="B248" s="1150" t="s">
        <v>1617</v>
      </c>
      <c r="C248" s="1151"/>
      <c r="D248" s="1137"/>
      <c r="E248" s="1152"/>
      <c r="F248" s="1164">
        <f>F184</f>
        <v>0</v>
      </c>
      <c r="G248" s="1165">
        <f>G184</f>
        <v>0</v>
      </c>
      <c r="H248" s="1165">
        <f>H184</f>
        <v>0</v>
      </c>
    </row>
    <row r="249" spans="1:8" s="1193" customFormat="1">
      <c r="A249" s="1161" t="s">
        <v>1539</v>
      </c>
      <c r="B249" s="1150" t="s">
        <v>1540</v>
      </c>
      <c r="C249" s="1151"/>
      <c r="D249" s="1137"/>
      <c r="E249" s="1152"/>
      <c r="F249" s="1164">
        <f>F192</f>
        <v>0</v>
      </c>
      <c r="G249" s="1165">
        <f>G192</f>
        <v>0</v>
      </c>
      <c r="H249" s="1165">
        <f>H192</f>
        <v>0</v>
      </c>
    </row>
    <row r="250" spans="1:8" s="1193" customFormat="1">
      <c r="A250" s="1161"/>
      <c r="B250" s="1150"/>
      <c r="C250" s="1151"/>
      <c r="D250" s="1137"/>
      <c r="E250" s="1152"/>
      <c r="F250" s="1164"/>
      <c r="G250" s="1165"/>
      <c r="H250" s="1165"/>
    </row>
    <row r="251" spans="1:8" s="1193" customFormat="1">
      <c r="A251" s="1209" t="s">
        <v>1541</v>
      </c>
      <c r="B251" s="1163" t="s">
        <v>268</v>
      </c>
      <c r="C251" s="1222"/>
      <c r="D251" s="1137"/>
      <c r="E251" s="1223"/>
      <c r="F251" s="1164">
        <f>F204</f>
        <v>0</v>
      </c>
      <c r="G251" s="1165">
        <f>G204</f>
        <v>0</v>
      </c>
      <c r="H251" s="1165">
        <f>H204</f>
        <v>0</v>
      </c>
    </row>
    <row r="252" spans="1:8" s="1193" customFormat="1">
      <c r="A252" s="1161"/>
      <c r="B252" s="1150"/>
      <c r="C252" s="1151"/>
      <c r="D252" s="1137"/>
      <c r="E252" s="1152"/>
      <c r="F252" s="1164"/>
      <c r="G252" s="1165"/>
      <c r="H252" s="1165"/>
    </row>
    <row r="253" spans="1:8" s="1193" customFormat="1">
      <c r="A253" s="1209" t="s">
        <v>1542</v>
      </c>
      <c r="B253" s="1163" t="s">
        <v>273</v>
      </c>
      <c r="C253" s="1222"/>
      <c r="D253" s="1137"/>
      <c r="E253" s="1223"/>
      <c r="F253" s="1164">
        <f>F230</f>
        <v>0</v>
      </c>
      <c r="G253" s="1165">
        <f>G230</f>
        <v>0</v>
      </c>
      <c r="H253" s="1165">
        <f>H230</f>
        <v>0</v>
      </c>
    </row>
    <row r="254" spans="1:8" s="1193" customFormat="1">
      <c r="A254" s="1209"/>
      <c r="B254" s="1163"/>
      <c r="C254" s="1222"/>
      <c r="D254" s="1137"/>
      <c r="E254" s="1223"/>
      <c r="F254" s="1164"/>
      <c r="G254" s="1165"/>
      <c r="H254" s="1165"/>
    </row>
    <row r="255" spans="1:8" s="1193" customFormat="1">
      <c r="A255" s="1209" t="s">
        <v>1547</v>
      </c>
      <c r="B255" s="1163" t="s">
        <v>1543</v>
      </c>
      <c r="C255" s="1222"/>
      <c r="D255" s="1137"/>
      <c r="E255" s="1223"/>
      <c r="F255" s="1164">
        <f>F215</f>
        <v>0</v>
      </c>
      <c r="G255" s="1165">
        <f>G215</f>
        <v>0</v>
      </c>
      <c r="H255" s="1165">
        <f>H215</f>
        <v>0</v>
      </c>
    </row>
    <row r="256" spans="1:8" ht="15.75" thickBot="1">
      <c r="A256" s="1224"/>
      <c r="B256" s="1225"/>
      <c r="C256" s="1226"/>
      <c r="D256" s="1227"/>
      <c r="E256" s="1228"/>
      <c r="F256" s="1229"/>
      <c r="G256" s="1230"/>
      <c r="H256" s="1230"/>
    </row>
    <row r="257" spans="1:8" ht="15.75" thickTop="1">
      <c r="A257" s="1209"/>
      <c r="B257" s="1163"/>
      <c r="C257" s="1222"/>
      <c r="E257" s="1223"/>
      <c r="G257" s="1162"/>
      <c r="H257" s="1162"/>
    </row>
    <row r="258" spans="1:8" s="1140" customFormat="1" ht="15.75">
      <c r="A258" s="1134"/>
      <c r="B258" s="1135" t="s">
        <v>44</v>
      </c>
      <c r="C258" s="1136"/>
      <c r="D258" s="1137"/>
      <c r="E258" s="1138"/>
      <c r="F258" s="1139">
        <f>SUM(F238:F255)</f>
        <v>0</v>
      </c>
      <c r="G258" s="1231">
        <f>SUM(G238:G255)</f>
        <v>0</v>
      </c>
      <c r="H258" s="1231">
        <f>SUM(H237:H255)</f>
        <v>0</v>
      </c>
    </row>
    <row r="261" spans="1:8">
      <c r="B261" s="1232"/>
    </row>
    <row r="275" spans="1:6" s="1233" customFormat="1" ht="15.75">
      <c r="A275" s="1161"/>
      <c r="B275" s="1150"/>
      <c r="C275" s="1151"/>
      <c r="D275" s="1137"/>
      <c r="E275" s="1152"/>
      <c r="F275" s="1153"/>
    </row>
    <row r="278" spans="1:6" ht="15.75">
      <c r="B278" s="1156"/>
    </row>
  </sheetData>
  <sheetProtection algorithmName="SHA-512" hashValue="5/NiZDsoPrzLfrx7oXzg4WMpiUeHZDBtWwq6fmBSNkPl1WbkqseK7vCHjv/8ZES/YiZrgCxAcnMmBRWbuyxyPA==" saltValue="DMxaTgUsVmjs9J32EHHGaQ==" spinCount="100000" sheet="1" objects="1" scenarios="1" selectLockedCells="1"/>
  <customSheetViews>
    <customSheetView guid="{14FA32B8-8DA0-4B39-A6E2-254F8891DDCC}" scale="60" showPageBreaks="1" view="pageBreakPreview" topLeftCell="A217">
      <selection activeCell="L18" sqref="L18"/>
      <rowBreaks count="5" manualBreakCount="5">
        <brk id="41" max="16383" man="1"/>
        <brk id="98" max="5" man="1"/>
        <brk id="143" max="16383" man="1"/>
        <brk id="182" max="16383" man="1"/>
        <brk id="225" max="16383" man="1"/>
      </rowBreaks>
      <pageMargins left="1.0899999999999999" right="0.7" top="0.75" bottom="0.75" header="0.3" footer="0.3"/>
      <pageSetup scale="84" orientation="portrait" r:id="rId1"/>
      <headerFooter>
        <oddHeader>&amp;CUREDITEV RAFUTSKEGA PARKA Z LAŠČAKOVO VILO - Park&amp;RLUZ, d.d.</oddHeader>
        <oddFooter>&amp;C&amp;P</oddFooter>
      </headerFooter>
    </customSheetView>
  </customSheetViews>
  <pageMargins left="1.0899999999999999" right="0.7" top="0.75" bottom="0.75" header="0.3" footer="0.3"/>
  <pageSetup scale="73" orientation="portrait" r:id="rId2"/>
  <headerFooter>
    <oddHeader>&amp;CUREDITEV RAFUTSKEGA PARKA Z LAŠČAKOVO VILO - Park&amp;RLUZ, d.d.</oddHeader>
    <oddFooter>&amp;C&amp;P</oddFooter>
  </headerFooter>
  <rowBreaks count="5" manualBreakCount="5">
    <brk id="40" max="7" man="1"/>
    <brk id="100" max="7" man="1"/>
    <brk id="145" max="16383" man="1"/>
    <brk id="184" max="16383" man="1"/>
    <brk id="22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tabColor theme="6" tint="0.59999389629810485"/>
  </sheetPr>
  <dimension ref="A1:J262"/>
  <sheetViews>
    <sheetView view="pageBreakPreview" topLeftCell="A7" zoomScale="80" zoomScaleNormal="100" zoomScaleSheetLayoutView="80" workbookViewId="0">
      <selection activeCell="E7" sqref="E7"/>
    </sheetView>
  </sheetViews>
  <sheetFormatPr defaultRowHeight="15.75"/>
  <cols>
    <col min="1" max="1" width="4.42578125" style="1271" customWidth="1"/>
    <col min="2" max="2" width="45.7109375" style="1219" customWidth="1"/>
    <col min="3" max="3" width="6.7109375" style="1190" customWidth="1"/>
    <col min="4" max="4" width="7.85546875" style="1240" bestFit="1" customWidth="1"/>
    <col min="5" max="5" width="12.85546875" style="1187" customWidth="1"/>
    <col min="6" max="6" width="9.140625" style="1187"/>
    <col min="7" max="7" width="52.140625" style="892" customWidth="1"/>
    <col min="8" max="8" width="19" style="892" customWidth="1"/>
    <col min="9" max="256" width="9.140625" style="892"/>
    <col min="257" max="257" width="4.42578125" style="892" customWidth="1"/>
    <col min="258" max="258" width="45.7109375" style="892" customWidth="1"/>
    <col min="259" max="259" width="6.7109375" style="892" customWidth="1"/>
    <col min="260" max="260" width="7.85546875" style="892" bestFit="1" customWidth="1"/>
    <col min="261" max="261" width="12.85546875" style="892" customWidth="1"/>
    <col min="262" max="262" width="9.140625" style="892"/>
    <col min="263" max="263" width="52.140625" style="892" customWidth="1"/>
    <col min="264" max="264" width="19" style="892" customWidth="1"/>
    <col min="265" max="512" width="9.140625" style="892"/>
    <col min="513" max="513" width="4.42578125" style="892" customWidth="1"/>
    <col min="514" max="514" width="45.7109375" style="892" customWidth="1"/>
    <col min="515" max="515" width="6.7109375" style="892" customWidth="1"/>
    <col min="516" max="516" width="7.85546875" style="892" bestFit="1" customWidth="1"/>
    <col min="517" max="517" width="12.85546875" style="892" customWidth="1"/>
    <col min="518" max="518" width="9.140625" style="892"/>
    <col min="519" max="519" width="52.140625" style="892" customWidth="1"/>
    <col min="520" max="520" width="19" style="892" customWidth="1"/>
    <col min="521" max="768" width="9.140625" style="892"/>
    <col min="769" max="769" width="4.42578125" style="892" customWidth="1"/>
    <col min="770" max="770" width="45.7109375" style="892" customWidth="1"/>
    <col min="771" max="771" width="6.7109375" style="892" customWidth="1"/>
    <col min="772" max="772" width="7.85546875" style="892" bestFit="1" customWidth="1"/>
    <col min="773" max="773" width="12.85546875" style="892" customWidth="1"/>
    <col min="774" max="774" width="9.140625" style="892"/>
    <col min="775" max="775" width="52.140625" style="892" customWidth="1"/>
    <col min="776" max="776" width="19" style="892" customWidth="1"/>
    <col min="777" max="1024" width="9.140625" style="892"/>
    <col min="1025" max="1025" width="4.42578125" style="892" customWidth="1"/>
    <col min="1026" max="1026" width="45.7109375" style="892" customWidth="1"/>
    <col min="1027" max="1027" width="6.7109375" style="892" customWidth="1"/>
    <col min="1028" max="1028" width="7.85546875" style="892" bestFit="1" customWidth="1"/>
    <col min="1029" max="1029" width="12.85546875" style="892" customWidth="1"/>
    <col min="1030" max="1030" width="9.140625" style="892"/>
    <col min="1031" max="1031" width="52.140625" style="892" customWidth="1"/>
    <col min="1032" max="1032" width="19" style="892" customWidth="1"/>
    <col min="1033" max="1280" width="9.140625" style="892"/>
    <col min="1281" max="1281" width="4.42578125" style="892" customWidth="1"/>
    <col min="1282" max="1282" width="45.7109375" style="892" customWidth="1"/>
    <col min="1283" max="1283" width="6.7109375" style="892" customWidth="1"/>
    <col min="1284" max="1284" width="7.85546875" style="892" bestFit="1" customWidth="1"/>
    <col min="1285" max="1285" width="12.85546875" style="892" customWidth="1"/>
    <col min="1286" max="1286" width="9.140625" style="892"/>
    <col min="1287" max="1287" width="52.140625" style="892" customWidth="1"/>
    <col min="1288" max="1288" width="19" style="892" customWidth="1"/>
    <col min="1289" max="1536" width="9.140625" style="892"/>
    <col min="1537" max="1537" width="4.42578125" style="892" customWidth="1"/>
    <col min="1538" max="1538" width="45.7109375" style="892" customWidth="1"/>
    <col min="1539" max="1539" width="6.7109375" style="892" customWidth="1"/>
    <col min="1540" max="1540" width="7.85546875" style="892" bestFit="1" customWidth="1"/>
    <col min="1541" max="1541" width="12.85546875" style="892" customWidth="1"/>
    <col min="1542" max="1542" width="9.140625" style="892"/>
    <col min="1543" max="1543" width="52.140625" style="892" customWidth="1"/>
    <col min="1544" max="1544" width="19" style="892" customWidth="1"/>
    <col min="1545" max="1792" width="9.140625" style="892"/>
    <col min="1793" max="1793" width="4.42578125" style="892" customWidth="1"/>
    <col min="1794" max="1794" width="45.7109375" style="892" customWidth="1"/>
    <col min="1795" max="1795" width="6.7109375" style="892" customWidth="1"/>
    <col min="1796" max="1796" width="7.85546875" style="892" bestFit="1" customWidth="1"/>
    <col min="1797" max="1797" width="12.85546875" style="892" customWidth="1"/>
    <col min="1798" max="1798" width="9.140625" style="892"/>
    <col min="1799" max="1799" width="52.140625" style="892" customWidth="1"/>
    <col min="1800" max="1800" width="19" style="892" customWidth="1"/>
    <col min="1801" max="2048" width="9.140625" style="892"/>
    <col min="2049" max="2049" width="4.42578125" style="892" customWidth="1"/>
    <col min="2050" max="2050" width="45.7109375" style="892" customWidth="1"/>
    <col min="2051" max="2051" width="6.7109375" style="892" customWidth="1"/>
    <col min="2052" max="2052" width="7.85546875" style="892" bestFit="1" customWidth="1"/>
    <col min="2053" max="2053" width="12.85546875" style="892" customWidth="1"/>
    <col min="2054" max="2054" width="9.140625" style="892"/>
    <col min="2055" max="2055" width="52.140625" style="892" customWidth="1"/>
    <col min="2056" max="2056" width="19" style="892" customWidth="1"/>
    <col min="2057" max="2304" width="9.140625" style="892"/>
    <col min="2305" max="2305" width="4.42578125" style="892" customWidth="1"/>
    <col min="2306" max="2306" width="45.7109375" style="892" customWidth="1"/>
    <col min="2307" max="2307" width="6.7109375" style="892" customWidth="1"/>
    <col min="2308" max="2308" width="7.85546875" style="892" bestFit="1" customWidth="1"/>
    <col min="2309" max="2309" width="12.85546875" style="892" customWidth="1"/>
    <col min="2310" max="2310" width="9.140625" style="892"/>
    <col min="2311" max="2311" width="52.140625" style="892" customWidth="1"/>
    <col min="2312" max="2312" width="19" style="892" customWidth="1"/>
    <col min="2313" max="2560" width="9.140625" style="892"/>
    <col min="2561" max="2561" width="4.42578125" style="892" customWidth="1"/>
    <col min="2562" max="2562" width="45.7109375" style="892" customWidth="1"/>
    <col min="2563" max="2563" width="6.7109375" style="892" customWidth="1"/>
    <col min="2564" max="2564" width="7.85546875" style="892" bestFit="1" customWidth="1"/>
    <col min="2565" max="2565" width="12.85546875" style="892" customWidth="1"/>
    <col min="2566" max="2566" width="9.140625" style="892"/>
    <col min="2567" max="2567" width="52.140625" style="892" customWidth="1"/>
    <col min="2568" max="2568" width="19" style="892" customWidth="1"/>
    <col min="2569" max="2816" width="9.140625" style="892"/>
    <col min="2817" max="2817" width="4.42578125" style="892" customWidth="1"/>
    <col min="2818" max="2818" width="45.7109375" style="892" customWidth="1"/>
    <col min="2819" max="2819" width="6.7109375" style="892" customWidth="1"/>
    <col min="2820" max="2820" width="7.85546875" style="892" bestFit="1" customWidth="1"/>
    <col min="2821" max="2821" width="12.85546875" style="892" customWidth="1"/>
    <col min="2822" max="2822" width="9.140625" style="892"/>
    <col min="2823" max="2823" width="52.140625" style="892" customWidth="1"/>
    <col min="2824" max="2824" width="19" style="892" customWidth="1"/>
    <col min="2825" max="3072" width="9.140625" style="892"/>
    <col min="3073" max="3073" width="4.42578125" style="892" customWidth="1"/>
    <col min="3074" max="3074" width="45.7109375" style="892" customWidth="1"/>
    <col min="3075" max="3075" width="6.7109375" style="892" customWidth="1"/>
    <col min="3076" max="3076" width="7.85546875" style="892" bestFit="1" customWidth="1"/>
    <col min="3077" max="3077" width="12.85546875" style="892" customWidth="1"/>
    <col min="3078" max="3078" width="9.140625" style="892"/>
    <col min="3079" max="3079" width="52.140625" style="892" customWidth="1"/>
    <col min="3080" max="3080" width="19" style="892" customWidth="1"/>
    <col min="3081" max="3328" width="9.140625" style="892"/>
    <col min="3329" max="3329" width="4.42578125" style="892" customWidth="1"/>
    <col min="3330" max="3330" width="45.7109375" style="892" customWidth="1"/>
    <col min="3331" max="3331" width="6.7109375" style="892" customWidth="1"/>
    <col min="3332" max="3332" width="7.85546875" style="892" bestFit="1" customWidth="1"/>
    <col min="3333" max="3333" width="12.85546875" style="892" customWidth="1"/>
    <col min="3334" max="3334" width="9.140625" style="892"/>
    <col min="3335" max="3335" width="52.140625" style="892" customWidth="1"/>
    <col min="3336" max="3336" width="19" style="892" customWidth="1"/>
    <col min="3337" max="3584" width="9.140625" style="892"/>
    <col min="3585" max="3585" width="4.42578125" style="892" customWidth="1"/>
    <col min="3586" max="3586" width="45.7109375" style="892" customWidth="1"/>
    <col min="3587" max="3587" width="6.7109375" style="892" customWidth="1"/>
    <col min="3588" max="3588" width="7.85546875" style="892" bestFit="1" customWidth="1"/>
    <col min="3589" max="3589" width="12.85546875" style="892" customWidth="1"/>
    <col min="3590" max="3590" width="9.140625" style="892"/>
    <col min="3591" max="3591" width="52.140625" style="892" customWidth="1"/>
    <col min="3592" max="3592" width="19" style="892" customWidth="1"/>
    <col min="3593" max="3840" width="9.140625" style="892"/>
    <col min="3841" max="3841" width="4.42578125" style="892" customWidth="1"/>
    <col min="3842" max="3842" width="45.7109375" style="892" customWidth="1"/>
    <col min="3843" max="3843" width="6.7109375" style="892" customWidth="1"/>
    <col min="3844" max="3844" width="7.85546875" style="892" bestFit="1" customWidth="1"/>
    <col min="3845" max="3845" width="12.85546875" style="892" customWidth="1"/>
    <col min="3846" max="3846" width="9.140625" style="892"/>
    <col min="3847" max="3847" width="52.140625" style="892" customWidth="1"/>
    <col min="3848" max="3848" width="19" style="892" customWidth="1"/>
    <col min="3849" max="4096" width="9.140625" style="892"/>
    <col min="4097" max="4097" width="4.42578125" style="892" customWidth="1"/>
    <col min="4098" max="4098" width="45.7109375" style="892" customWidth="1"/>
    <col min="4099" max="4099" width="6.7109375" style="892" customWidth="1"/>
    <col min="4100" max="4100" width="7.85546875" style="892" bestFit="1" customWidth="1"/>
    <col min="4101" max="4101" width="12.85546875" style="892" customWidth="1"/>
    <col min="4102" max="4102" width="9.140625" style="892"/>
    <col min="4103" max="4103" width="52.140625" style="892" customWidth="1"/>
    <col min="4104" max="4104" width="19" style="892" customWidth="1"/>
    <col min="4105" max="4352" width="9.140625" style="892"/>
    <col min="4353" max="4353" width="4.42578125" style="892" customWidth="1"/>
    <col min="4354" max="4354" width="45.7109375" style="892" customWidth="1"/>
    <col min="4355" max="4355" width="6.7109375" style="892" customWidth="1"/>
    <col min="4356" max="4356" width="7.85546875" style="892" bestFit="1" customWidth="1"/>
    <col min="4357" max="4357" width="12.85546875" style="892" customWidth="1"/>
    <col min="4358" max="4358" width="9.140625" style="892"/>
    <col min="4359" max="4359" width="52.140625" style="892" customWidth="1"/>
    <col min="4360" max="4360" width="19" style="892" customWidth="1"/>
    <col min="4361" max="4608" width="9.140625" style="892"/>
    <col min="4609" max="4609" width="4.42578125" style="892" customWidth="1"/>
    <col min="4610" max="4610" width="45.7109375" style="892" customWidth="1"/>
    <col min="4611" max="4611" width="6.7109375" style="892" customWidth="1"/>
    <col min="4612" max="4612" width="7.85546875" style="892" bestFit="1" customWidth="1"/>
    <col min="4613" max="4613" width="12.85546875" style="892" customWidth="1"/>
    <col min="4614" max="4614" width="9.140625" style="892"/>
    <col min="4615" max="4615" width="52.140625" style="892" customWidth="1"/>
    <col min="4616" max="4616" width="19" style="892" customWidth="1"/>
    <col min="4617" max="4864" width="9.140625" style="892"/>
    <col min="4865" max="4865" width="4.42578125" style="892" customWidth="1"/>
    <col min="4866" max="4866" width="45.7109375" style="892" customWidth="1"/>
    <col min="4867" max="4867" width="6.7109375" style="892" customWidth="1"/>
    <col min="4868" max="4868" width="7.85546875" style="892" bestFit="1" customWidth="1"/>
    <col min="4869" max="4869" width="12.85546875" style="892" customWidth="1"/>
    <col min="4870" max="4870" width="9.140625" style="892"/>
    <col min="4871" max="4871" width="52.140625" style="892" customWidth="1"/>
    <col min="4872" max="4872" width="19" style="892" customWidth="1"/>
    <col min="4873" max="5120" width="9.140625" style="892"/>
    <col min="5121" max="5121" width="4.42578125" style="892" customWidth="1"/>
    <col min="5122" max="5122" width="45.7109375" style="892" customWidth="1"/>
    <col min="5123" max="5123" width="6.7109375" style="892" customWidth="1"/>
    <col min="5124" max="5124" width="7.85546875" style="892" bestFit="1" customWidth="1"/>
    <col min="5125" max="5125" width="12.85546875" style="892" customWidth="1"/>
    <col min="5126" max="5126" width="9.140625" style="892"/>
    <col min="5127" max="5127" width="52.140625" style="892" customWidth="1"/>
    <col min="5128" max="5128" width="19" style="892" customWidth="1"/>
    <col min="5129" max="5376" width="9.140625" style="892"/>
    <col min="5377" max="5377" width="4.42578125" style="892" customWidth="1"/>
    <col min="5378" max="5378" width="45.7109375" style="892" customWidth="1"/>
    <col min="5379" max="5379" width="6.7109375" style="892" customWidth="1"/>
    <col min="5380" max="5380" width="7.85546875" style="892" bestFit="1" customWidth="1"/>
    <col min="5381" max="5381" width="12.85546875" style="892" customWidth="1"/>
    <col min="5382" max="5382" width="9.140625" style="892"/>
    <col min="5383" max="5383" width="52.140625" style="892" customWidth="1"/>
    <col min="5384" max="5384" width="19" style="892" customWidth="1"/>
    <col min="5385" max="5632" width="9.140625" style="892"/>
    <col min="5633" max="5633" width="4.42578125" style="892" customWidth="1"/>
    <col min="5634" max="5634" width="45.7109375" style="892" customWidth="1"/>
    <col min="5635" max="5635" width="6.7109375" style="892" customWidth="1"/>
    <col min="5636" max="5636" width="7.85546875" style="892" bestFit="1" customWidth="1"/>
    <col min="5637" max="5637" width="12.85546875" style="892" customWidth="1"/>
    <col min="5638" max="5638" width="9.140625" style="892"/>
    <col min="5639" max="5639" width="52.140625" style="892" customWidth="1"/>
    <col min="5640" max="5640" width="19" style="892" customWidth="1"/>
    <col min="5641" max="5888" width="9.140625" style="892"/>
    <col min="5889" max="5889" width="4.42578125" style="892" customWidth="1"/>
    <col min="5890" max="5890" width="45.7109375" style="892" customWidth="1"/>
    <col min="5891" max="5891" width="6.7109375" style="892" customWidth="1"/>
    <col min="5892" max="5892" width="7.85546875" style="892" bestFit="1" customWidth="1"/>
    <col min="5893" max="5893" width="12.85546875" style="892" customWidth="1"/>
    <col min="5894" max="5894" width="9.140625" style="892"/>
    <col min="5895" max="5895" width="52.140625" style="892" customWidth="1"/>
    <col min="5896" max="5896" width="19" style="892" customWidth="1"/>
    <col min="5897" max="6144" width="9.140625" style="892"/>
    <col min="6145" max="6145" width="4.42578125" style="892" customWidth="1"/>
    <col min="6146" max="6146" width="45.7109375" style="892" customWidth="1"/>
    <col min="6147" max="6147" width="6.7109375" style="892" customWidth="1"/>
    <col min="6148" max="6148" width="7.85546875" style="892" bestFit="1" customWidth="1"/>
    <col min="6149" max="6149" width="12.85546875" style="892" customWidth="1"/>
    <col min="6150" max="6150" width="9.140625" style="892"/>
    <col min="6151" max="6151" width="52.140625" style="892" customWidth="1"/>
    <col min="6152" max="6152" width="19" style="892" customWidth="1"/>
    <col min="6153" max="6400" width="9.140625" style="892"/>
    <col min="6401" max="6401" width="4.42578125" style="892" customWidth="1"/>
    <col min="6402" max="6402" width="45.7109375" style="892" customWidth="1"/>
    <col min="6403" max="6403" width="6.7109375" style="892" customWidth="1"/>
    <col min="6404" max="6404" width="7.85546875" style="892" bestFit="1" customWidth="1"/>
    <col min="6405" max="6405" width="12.85546875" style="892" customWidth="1"/>
    <col min="6406" max="6406" width="9.140625" style="892"/>
    <col min="6407" max="6407" width="52.140625" style="892" customWidth="1"/>
    <col min="6408" max="6408" width="19" style="892" customWidth="1"/>
    <col min="6409" max="6656" width="9.140625" style="892"/>
    <col min="6657" max="6657" width="4.42578125" style="892" customWidth="1"/>
    <col min="6658" max="6658" width="45.7109375" style="892" customWidth="1"/>
    <col min="6659" max="6659" width="6.7109375" style="892" customWidth="1"/>
    <col min="6660" max="6660" width="7.85546875" style="892" bestFit="1" customWidth="1"/>
    <col min="6661" max="6661" width="12.85546875" style="892" customWidth="1"/>
    <col min="6662" max="6662" width="9.140625" style="892"/>
    <col min="6663" max="6663" width="52.140625" style="892" customWidth="1"/>
    <col min="6664" max="6664" width="19" style="892" customWidth="1"/>
    <col min="6665" max="6912" width="9.140625" style="892"/>
    <col min="6913" max="6913" width="4.42578125" style="892" customWidth="1"/>
    <col min="6914" max="6914" width="45.7109375" style="892" customWidth="1"/>
    <col min="6915" max="6915" width="6.7109375" style="892" customWidth="1"/>
    <col min="6916" max="6916" width="7.85546875" style="892" bestFit="1" customWidth="1"/>
    <col min="6917" max="6917" width="12.85546875" style="892" customWidth="1"/>
    <col min="6918" max="6918" width="9.140625" style="892"/>
    <col min="6919" max="6919" width="52.140625" style="892" customWidth="1"/>
    <col min="6920" max="6920" width="19" style="892" customWidth="1"/>
    <col min="6921" max="7168" width="9.140625" style="892"/>
    <col min="7169" max="7169" width="4.42578125" style="892" customWidth="1"/>
    <col min="7170" max="7170" width="45.7109375" style="892" customWidth="1"/>
    <col min="7171" max="7171" width="6.7109375" style="892" customWidth="1"/>
    <col min="7172" max="7172" width="7.85546875" style="892" bestFit="1" customWidth="1"/>
    <col min="7173" max="7173" width="12.85546875" style="892" customWidth="1"/>
    <col min="7174" max="7174" width="9.140625" style="892"/>
    <col min="7175" max="7175" width="52.140625" style="892" customWidth="1"/>
    <col min="7176" max="7176" width="19" style="892" customWidth="1"/>
    <col min="7177" max="7424" width="9.140625" style="892"/>
    <col min="7425" max="7425" width="4.42578125" style="892" customWidth="1"/>
    <col min="7426" max="7426" width="45.7109375" style="892" customWidth="1"/>
    <col min="7427" max="7427" width="6.7109375" style="892" customWidth="1"/>
    <col min="7428" max="7428" width="7.85546875" style="892" bestFit="1" customWidth="1"/>
    <col min="7429" max="7429" width="12.85546875" style="892" customWidth="1"/>
    <col min="7430" max="7430" width="9.140625" style="892"/>
    <col min="7431" max="7431" width="52.140625" style="892" customWidth="1"/>
    <col min="7432" max="7432" width="19" style="892" customWidth="1"/>
    <col min="7433" max="7680" width="9.140625" style="892"/>
    <col min="7681" max="7681" width="4.42578125" style="892" customWidth="1"/>
    <col min="7682" max="7682" width="45.7109375" style="892" customWidth="1"/>
    <col min="7683" max="7683" width="6.7109375" style="892" customWidth="1"/>
    <col min="7684" max="7684" width="7.85546875" style="892" bestFit="1" customWidth="1"/>
    <col min="7685" max="7685" width="12.85546875" style="892" customWidth="1"/>
    <col min="7686" max="7686" width="9.140625" style="892"/>
    <col min="7687" max="7687" width="52.140625" style="892" customWidth="1"/>
    <col min="7688" max="7688" width="19" style="892" customWidth="1"/>
    <col min="7689" max="7936" width="9.140625" style="892"/>
    <col min="7937" max="7937" width="4.42578125" style="892" customWidth="1"/>
    <col min="7938" max="7938" width="45.7109375" style="892" customWidth="1"/>
    <col min="7939" max="7939" width="6.7109375" style="892" customWidth="1"/>
    <col min="7940" max="7940" width="7.85546875" style="892" bestFit="1" customWidth="1"/>
    <col min="7941" max="7941" width="12.85546875" style="892" customWidth="1"/>
    <col min="7942" max="7942" width="9.140625" style="892"/>
    <col min="7943" max="7943" width="52.140625" style="892" customWidth="1"/>
    <col min="7944" max="7944" width="19" style="892" customWidth="1"/>
    <col min="7945" max="8192" width="9.140625" style="892"/>
    <col min="8193" max="8193" width="4.42578125" style="892" customWidth="1"/>
    <col min="8194" max="8194" width="45.7109375" style="892" customWidth="1"/>
    <col min="8195" max="8195" width="6.7109375" style="892" customWidth="1"/>
    <col min="8196" max="8196" width="7.85546875" style="892" bestFit="1" customWidth="1"/>
    <col min="8197" max="8197" width="12.85546875" style="892" customWidth="1"/>
    <col min="8198" max="8198" width="9.140625" style="892"/>
    <col min="8199" max="8199" width="52.140625" style="892" customWidth="1"/>
    <col min="8200" max="8200" width="19" style="892" customWidth="1"/>
    <col min="8201" max="8448" width="9.140625" style="892"/>
    <col min="8449" max="8449" width="4.42578125" style="892" customWidth="1"/>
    <col min="8450" max="8450" width="45.7109375" style="892" customWidth="1"/>
    <col min="8451" max="8451" width="6.7109375" style="892" customWidth="1"/>
    <col min="8452" max="8452" width="7.85546875" style="892" bestFit="1" customWidth="1"/>
    <col min="8453" max="8453" width="12.85546875" style="892" customWidth="1"/>
    <col min="8454" max="8454" width="9.140625" style="892"/>
    <col min="8455" max="8455" width="52.140625" style="892" customWidth="1"/>
    <col min="8456" max="8456" width="19" style="892" customWidth="1"/>
    <col min="8457" max="8704" width="9.140625" style="892"/>
    <col min="8705" max="8705" width="4.42578125" style="892" customWidth="1"/>
    <col min="8706" max="8706" width="45.7109375" style="892" customWidth="1"/>
    <col min="8707" max="8707" width="6.7109375" style="892" customWidth="1"/>
    <col min="8708" max="8708" width="7.85546875" style="892" bestFit="1" customWidth="1"/>
    <col min="8709" max="8709" width="12.85546875" style="892" customWidth="1"/>
    <col min="8710" max="8710" width="9.140625" style="892"/>
    <col min="8711" max="8711" width="52.140625" style="892" customWidth="1"/>
    <col min="8712" max="8712" width="19" style="892" customWidth="1"/>
    <col min="8713" max="8960" width="9.140625" style="892"/>
    <col min="8961" max="8961" width="4.42578125" style="892" customWidth="1"/>
    <col min="8962" max="8962" width="45.7109375" style="892" customWidth="1"/>
    <col min="8963" max="8963" width="6.7109375" style="892" customWidth="1"/>
    <col min="8964" max="8964" width="7.85546875" style="892" bestFit="1" customWidth="1"/>
    <col min="8965" max="8965" width="12.85546875" style="892" customWidth="1"/>
    <col min="8966" max="8966" width="9.140625" style="892"/>
    <col min="8967" max="8967" width="52.140625" style="892" customWidth="1"/>
    <col min="8968" max="8968" width="19" style="892" customWidth="1"/>
    <col min="8969" max="9216" width="9.140625" style="892"/>
    <col min="9217" max="9217" width="4.42578125" style="892" customWidth="1"/>
    <col min="9218" max="9218" width="45.7109375" style="892" customWidth="1"/>
    <col min="9219" max="9219" width="6.7109375" style="892" customWidth="1"/>
    <col min="9220" max="9220" width="7.85546875" style="892" bestFit="1" customWidth="1"/>
    <col min="9221" max="9221" width="12.85546875" style="892" customWidth="1"/>
    <col min="9222" max="9222" width="9.140625" style="892"/>
    <col min="9223" max="9223" width="52.140625" style="892" customWidth="1"/>
    <col min="9224" max="9224" width="19" style="892" customWidth="1"/>
    <col min="9225" max="9472" width="9.140625" style="892"/>
    <col min="9473" max="9473" width="4.42578125" style="892" customWidth="1"/>
    <col min="9474" max="9474" width="45.7109375" style="892" customWidth="1"/>
    <col min="9475" max="9475" width="6.7109375" style="892" customWidth="1"/>
    <col min="9476" max="9476" width="7.85546875" style="892" bestFit="1" customWidth="1"/>
    <col min="9477" max="9477" width="12.85546875" style="892" customWidth="1"/>
    <col min="9478" max="9478" width="9.140625" style="892"/>
    <col min="9479" max="9479" width="52.140625" style="892" customWidth="1"/>
    <col min="9480" max="9480" width="19" style="892" customWidth="1"/>
    <col min="9481" max="9728" width="9.140625" style="892"/>
    <col min="9729" max="9729" width="4.42578125" style="892" customWidth="1"/>
    <col min="9730" max="9730" width="45.7109375" style="892" customWidth="1"/>
    <col min="9731" max="9731" width="6.7109375" style="892" customWidth="1"/>
    <col min="9732" max="9732" width="7.85546875" style="892" bestFit="1" customWidth="1"/>
    <col min="9733" max="9733" width="12.85546875" style="892" customWidth="1"/>
    <col min="9734" max="9734" width="9.140625" style="892"/>
    <col min="9735" max="9735" width="52.140625" style="892" customWidth="1"/>
    <col min="9736" max="9736" width="19" style="892" customWidth="1"/>
    <col min="9737" max="9984" width="9.140625" style="892"/>
    <col min="9985" max="9985" width="4.42578125" style="892" customWidth="1"/>
    <col min="9986" max="9986" width="45.7109375" style="892" customWidth="1"/>
    <col min="9987" max="9987" width="6.7109375" style="892" customWidth="1"/>
    <col min="9988" max="9988" width="7.85546875" style="892" bestFit="1" customWidth="1"/>
    <col min="9989" max="9989" width="12.85546875" style="892" customWidth="1"/>
    <col min="9990" max="9990" width="9.140625" style="892"/>
    <col min="9991" max="9991" width="52.140625" style="892" customWidth="1"/>
    <col min="9992" max="9992" width="19" style="892" customWidth="1"/>
    <col min="9993" max="10240" width="9.140625" style="892"/>
    <col min="10241" max="10241" width="4.42578125" style="892" customWidth="1"/>
    <col min="10242" max="10242" width="45.7109375" style="892" customWidth="1"/>
    <col min="10243" max="10243" width="6.7109375" style="892" customWidth="1"/>
    <col min="10244" max="10244" width="7.85546875" style="892" bestFit="1" customWidth="1"/>
    <col min="10245" max="10245" width="12.85546875" style="892" customWidth="1"/>
    <col min="10246" max="10246" width="9.140625" style="892"/>
    <col min="10247" max="10247" width="52.140625" style="892" customWidth="1"/>
    <col min="10248" max="10248" width="19" style="892" customWidth="1"/>
    <col min="10249" max="10496" width="9.140625" style="892"/>
    <col min="10497" max="10497" width="4.42578125" style="892" customWidth="1"/>
    <col min="10498" max="10498" width="45.7109375" style="892" customWidth="1"/>
    <col min="10499" max="10499" width="6.7109375" style="892" customWidth="1"/>
    <col min="10500" max="10500" width="7.85546875" style="892" bestFit="1" customWidth="1"/>
    <col min="10501" max="10501" width="12.85546875" style="892" customWidth="1"/>
    <col min="10502" max="10502" width="9.140625" style="892"/>
    <col min="10503" max="10503" width="52.140625" style="892" customWidth="1"/>
    <col min="10504" max="10504" width="19" style="892" customWidth="1"/>
    <col min="10505" max="10752" width="9.140625" style="892"/>
    <col min="10753" max="10753" width="4.42578125" style="892" customWidth="1"/>
    <col min="10754" max="10754" width="45.7109375" style="892" customWidth="1"/>
    <col min="10755" max="10755" width="6.7109375" style="892" customWidth="1"/>
    <col min="10756" max="10756" width="7.85546875" style="892" bestFit="1" customWidth="1"/>
    <col min="10757" max="10757" width="12.85546875" style="892" customWidth="1"/>
    <col min="10758" max="10758" width="9.140625" style="892"/>
    <col min="10759" max="10759" width="52.140625" style="892" customWidth="1"/>
    <col min="10760" max="10760" width="19" style="892" customWidth="1"/>
    <col min="10761" max="11008" width="9.140625" style="892"/>
    <col min="11009" max="11009" width="4.42578125" style="892" customWidth="1"/>
    <col min="11010" max="11010" width="45.7109375" style="892" customWidth="1"/>
    <col min="11011" max="11011" width="6.7109375" style="892" customWidth="1"/>
    <col min="11012" max="11012" width="7.85546875" style="892" bestFit="1" customWidth="1"/>
    <col min="11013" max="11013" width="12.85546875" style="892" customWidth="1"/>
    <col min="11014" max="11014" width="9.140625" style="892"/>
    <col min="11015" max="11015" width="52.140625" style="892" customWidth="1"/>
    <col min="11016" max="11016" width="19" style="892" customWidth="1"/>
    <col min="11017" max="11264" width="9.140625" style="892"/>
    <col min="11265" max="11265" width="4.42578125" style="892" customWidth="1"/>
    <col min="11266" max="11266" width="45.7109375" style="892" customWidth="1"/>
    <col min="11267" max="11267" width="6.7109375" style="892" customWidth="1"/>
    <col min="11268" max="11268" width="7.85546875" style="892" bestFit="1" customWidth="1"/>
    <col min="11269" max="11269" width="12.85546875" style="892" customWidth="1"/>
    <col min="11270" max="11270" width="9.140625" style="892"/>
    <col min="11271" max="11271" width="52.140625" style="892" customWidth="1"/>
    <col min="11272" max="11272" width="19" style="892" customWidth="1"/>
    <col min="11273" max="11520" width="9.140625" style="892"/>
    <col min="11521" max="11521" width="4.42578125" style="892" customWidth="1"/>
    <col min="11522" max="11522" width="45.7109375" style="892" customWidth="1"/>
    <col min="11523" max="11523" width="6.7109375" style="892" customWidth="1"/>
    <col min="11524" max="11524" width="7.85546875" style="892" bestFit="1" customWidth="1"/>
    <col min="11525" max="11525" width="12.85546875" style="892" customWidth="1"/>
    <col min="11526" max="11526" width="9.140625" style="892"/>
    <col min="11527" max="11527" width="52.140625" style="892" customWidth="1"/>
    <col min="11528" max="11528" width="19" style="892" customWidth="1"/>
    <col min="11529" max="11776" width="9.140625" style="892"/>
    <col min="11777" max="11777" width="4.42578125" style="892" customWidth="1"/>
    <col min="11778" max="11778" width="45.7109375" style="892" customWidth="1"/>
    <col min="11779" max="11779" width="6.7109375" style="892" customWidth="1"/>
    <col min="11780" max="11780" width="7.85546875" style="892" bestFit="1" customWidth="1"/>
    <col min="11781" max="11781" width="12.85546875" style="892" customWidth="1"/>
    <col min="11782" max="11782" width="9.140625" style="892"/>
    <col min="11783" max="11783" width="52.140625" style="892" customWidth="1"/>
    <col min="11784" max="11784" width="19" style="892" customWidth="1"/>
    <col min="11785" max="12032" width="9.140625" style="892"/>
    <col min="12033" max="12033" width="4.42578125" style="892" customWidth="1"/>
    <col min="12034" max="12034" width="45.7109375" style="892" customWidth="1"/>
    <col min="12035" max="12035" width="6.7109375" style="892" customWidth="1"/>
    <col min="12036" max="12036" width="7.85546875" style="892" bestFit="1" customWidth="1"/>
    <col min="12037" max="12037" width="12.85546875" style="892" customWidth="1"/>
    <col min="12038" max="12038" width="9.140625" style="892"/>
    <col min="12039" max="12039" width="52.140625" style="892" customWidth="1"/>
    <col min="12040" max="12040" width="19" style="892" customWidth="1"/>
    <col min="12041" max="12288" width="9.140625" style="892"/>
    <col min="12289" max="12289" width="4.42578125" style="892" customWidth="1"/>
    <col min="12290" max="12290" width="45.7109375" style="892" customWidth="1"/>
    <col min="12291" max="12291" width="6.7109375" style="892" customWidth="1"/>
    <col min="12292" max="12292" width="7.85546875" style="892" bestFit="1" customWidth="1"/>
    <col min="12293" max="12293" width="12.85546875" style="892" customWidth="1"/>
    <col min="12294" max="12294" width="9.140625" style="892"/>
    <col min="12295" max="12295" width="52.140625" style="892" customWidth="1"/>
    <col min="12296" max="12296" width="19" style="892" customWidth="1"/>
    <col min="12297" max="12544" width="9.140625" style="892"/>
    <col min="12545" max="12545" width="4.42578125" style="892" customWidth="1"/>
    <col min="12546" max="12546" width="45.7109375" style="892" customWidth="1"/>
    <col min="12547" max="12547" width="6.7109375" style="892" customWidth="1"/>
    <col min="12548" max="12548" width="7.85546875" style="892" bestFit="1" customWidth="1"/>
    <col min="12549" max="12549" width="12.85546875" style="892" customWidth="1"/>
    <col min="12550" max="12550" width="9.140625" style="892"/>
    <col min="12551" max="12551" width="52.140625" style="892" customWidth="1"/>
    <col min="12552" max="12552" width="19" style="892" customWidth="1"/>
    <col min="12553" max="12800" width="9.140625" style="892"/>
    <col min="12801" max="12801" width="4.42578125" style="892" customWidth="1"/>
    <col min="12802" max="12802" width="45.7109375" style="892" customWidth="1"/>
    <col min="12803" max="12803" width="6.7109375" style="892" customWidth="1"/>
    <col min="12804" max="12804" width="7.85546875" style="892" bestFit="1" customWidth="1"/>
    <col min="12805" max="12805" width="12.85546875" style="892" customWidth="1"/>
    <col min="12806" max="12806" width="9.140625" style="892"/>
    <col min="12807" max="12807" width="52.140625" style="892" customWidth="1"/>
    <col min="12808" max="12808" width="19" style="892" customWidth="1"/>
    <col min="12809" max="13056" width="9.140625" style="892"/>
    <col min="13057" max="13057" width="4.42578125" style="892" customWidth="1"/>
    <col min="13058" max="13058" width="45.7109375" style="892" customWidth="1"/>
    <col min="13059" max="13059" width="6.7109375" style="892" customWidth="1"/>
    <col min="13060" max="13060" width="7.85546875" style="892" bestFit="1" customWidth="1"/>
    <col min="13061" max="13061" width="12.85546875" style="892" customWidth="1"/>
    <col min="13062" max="13062" width="9.140625" style="892"/>
    <col min="13063" max="13063" width="52.140625" style="892" customWidth="1"/>
    <col min="13064" max="13064" width="19" style="892" customWidth="1"/>
    <col min="13065" max="13312" width="9.140625" style="892"/>
    <col min="13313" max="13313" width="4.42578125" style="892" customWidth="1"/>
    <col min="13314" max="13314" width="45.7109375" style="892" customWidth="1"/>
    <col min="13315" max="13315" width="6.7109375" style="892" customWidth="1"/>
    <col min="13316" max="13316" width="7.85546875" style="892" bestFit="1" customWidth="1"/>
    <col min="13317" max="13317" width="12.85546875" style="892" customWidth="1"/>
    <col min="13318" max="13318" width="9.140625" style="892"/>
    <col min="13319" max="13319" width="52.140625" style="892" customWidth="1"/>
    <col min="13320" max="13320" width="19" style="892" customWidth="1"/>
    <col min="13321" max="13568" width="9.140625" style="892"/>
    <col min="13569" max="13569" width="4.42578125" style="892" customWidth="1"/>
    <col min="13570" max="13570" width="45.7109375" style="892" customWidth="1"/>
    <col min="13571" max="13571" width="6.7109375" style="892" customWidth="1"/>
    <col min="13572" max="13572" width="7.85546875" style="892" bestFit="1" customWidth="1"/>
    <col min="13573" max="13573" width="12.85546875" style="892" customWidth="1"/>
    <col min="13574" max="13574" width="9.140625" style="892"/>
    <col min="13575" max="13575" width="52.140625" style="892" customWidth="1"/>
    <col min="13576" max="13576" width="19" style="892" customWidth="1"/>
    <col min="13577" max="13824" width="9.140625" style="892"/>
    <col min="13825" max="13825" width="4.42578125" style="892" customWidth="1"/>
    <col min="13826" max="13826" width="45.7109375" style="892" customWidth="1"/>
    <col min="13827" max="13827" width="6.7109375" style="892" customWidth="1"/>
    <col min="13828" max="13828" width="7.85546875" style="892" bestFit="1" customWidth="1"/>
    <col min="13829" max="13829" width="12.85546875" style="892" customWidth="1"/>
    <col min="13830" max="13830" width="9.140625" style="892"/>
    <col min="13831" max="13831" width="52.140625" style="892" customWidth="1"/>
    <col min="13832" max="13832" width="19" style="892" customWidth="1"/>
    <col min="13833" max="14080" width="9.140625" style="892"/>
    <col min="14081" max="14081" width="4.42578125" style="892" customWidth="1"/>
    <col min="14082" max="14082" width="45.7109375" style="892" customWidth="1"/>
    <col min="14083" max="14083" width="6.7109375" style="892" customWidth="1"/>
    <col min="14084" max="14084" width="7.85546875" style="892" bestFit="1" customWidth="1"/>
    <col min="14085" max="14085" width="12.85546875" style="892" customWidth="1"/>
    <col min="14086" max="14086" width="9.140625" style="892"/>
    <col min="14087" max="14087" width="52.140625" style="892" customWidth="1"/>
    <col min="14088" max="14088" width="19" style="892" customWidth="1"/>
    <col min="14089" max="14336" width="9.140625" style="892"/>
    <col min="14337" max="14337" width="4.42578125" style="892" customWidth="1"/>
    <col min="14338" max="14338" width="45.7109375" style="892" customWidth="1"/>
    <col min="14339" max="14339" width="6.7109375" style="892" customWidth="1"/>
    <col min="14340" max="14340" width="7.85546875" style="892" bestFit="1" customWidth="1"/>
    <col min="14341" max="14341" width="12.85546875" style="892" customWidth="1"/>
    <col min="14342" max="14342" width="9.140625" style="892"/>
    <col min="14343" max="14343" width="52.140625" style="892" customWidth="1"/>
    <col min="14344" max="14344" width="19" style="892" customWidth="1"/>
    <col min="14345" max="14592" width="9.140625" style="892"/>
    <col min="14593" max="14593" width="4.42578125" style="892" customWidth="1"/>
    <col min="14594" max="14594" width="45.7109375" style="892" customWidth="1"/>
    <col min="14595" max="14595" width="6.7109375" style="892" customWidth="1"/>
    <col min="14596" max="14596" width="7.85546875" style="892" bestFit="1" customWidth="1"/>
    <col min="14597" max="14597" width="12.85546875" style="892" customWidth="1"/>
    <col min="14598" max="14598" width="9.140625" style="892"/>
    <col min="14599" max="14599" width="52.140625" style="892" customWidth="1"/>
    <col min="14600" max="14600" width="19" style="892" customWidth="1"/>
    <col min="14601" max="14848" width="9.140625" style="892"/>
    <col min="14849" max="14849" width="4.42578125" style="892" customWidth="1"/>
    <col min="14850" max="14850" width="45.7109375" style="892" customWidth="1"/>
    <col min="14851" max="14851" width="6.7109375" style="892" customWidth="1"/>
    <col min="14852" max="14852" width="7.85546875" style="892" bestFit="1" customWidth="1"/>
    <col min="14853" max="14853" width="12.85546875" style="892" customWidth="1"/>
    <col min="14854" max="14854" width="9.140625" style="892"/>
    <col min="14855" max="14855" width="52.140625" style="892" customWidth="1"/>
    <col min="14856" max="14856" width="19" style="892" customWidth="1"/>
    <col min="14857" max="15104" width="9.140625" style="892"/>
    <col min="15105" max="15105" width="4.42578125" style="892" customWidth="1"/>
    <col min="15106" max="15106" width="45.7109375" style="892" customWidth="1"/>
    <col min="15107" max="15107" width="6.7109375" style="892" customWidth="1"/>
    <col min="15108" max="15108" width="7.85546875" style="892" bestFit="1" customWidth="1"/>
    <col min="15109" max="15109" width="12.85546875" style="892" customWidth="1"/>
    <col min="15110" max="15110" width="9.140625" style="892"/>
    <col min="15111" max="15111" width="52.140625" style="892" customWidth="1"/>
    <col min="15112" max="15112" width="19" style="892" customWidth="1"/>
    <col min="15113" max="15360" width="9.140625" style="892"/>
    <col min="15361" max="15361" width="4.42578125" style="892" customWidth="1"/>
    <col min="15362" max="15362" width="45.7109375" style="892" customWidth="1"/>
    <col min="15363" max="15363" width="6.7109375" style="892" customWidth="1"/>
    <col min="15364" max="15364" width="7.85546875" style="892" bestFit="1" customWidth="1"/>
    <col min="15365" max="15365" width="12.85546875" style="892" customWidth="1"/>
    <col min="15366" max="15366" width="9.140625" style="892"/>
    <col min="15367" max="15367" width="52.140625" style="892" customWidth="1"/>
    <col min="15368" max="15368" width="19" style="892" customWidth="1"/>
    <col min="15369" max="15616" width="9.140625" style="892"/>
    <col min="15617" max="15617" width="4.42578125" style="892" customWidth="1"/>
    <col min="15618" max="15618" width="45.7109375" style="892" customWidth="1"/>
    <col min="15619" max="15619" width="6.7109375" style="892" customWidth="1"/>
    <col min="15620" max="15620" width="7.85546875" style="892" bestFit="1" customWidth="1"/>
    <col min="15621" max="15621" width="12.85546875" style="892" customWidth="1"/>
    <col min="15622" max="15622" width="9.140625" style="892"/>
    <col min="15623" max="15623" width="52.140625" style="892" customWidth="1"/>
    <col min="15624" max="15624" width="19" style="892" customWidth="1"/>
    <col min="15625" max="15872" width="9.140625" style="892"/>
    <col min="15873" max="15873" width="4.42578125" style="892" customWidth="1"/>
    <col min="15874" max="15874" width="45.7109375" style="892" customWidth="1"/>
    <col min="15875" max="15875" width="6.7109375" style="892" customWidth="1"/>
    <col min="15876" max="15876" width="7.85546875" style="892" bestFit="1" customWidth="1"/>
    <col min="15877" max="15877" width="12.85546875" style="892" customWidth="1"/>
    <col min="15878" max="15878" width="9.140625" style="892"/>
    <col min="15879" max="15879" width="52.140625" style="892" customWidth="1"/>
    <col min="15880" max="15880" width="19" style="892" customWidth="1"/>
    <col min="15881" max="16128" width="9.140625" style="892"/>
    <col min="16129" max="16129" width="4.42578125" style="892" customWidth="1"/>
    <col min="16130" max="16130" width="45.7109375" style="892" customWidth="1"/>
    <col min="16131" max="16131" width="6.7109375" style="892" customWidth="1"/>
    <col min="16132" max="16132" width="7.85546875" style="892" bestFit="1" customWidth="1"/>
    <col min="16133" max="16133" width="12.85546875" style="892" customWidth="1"/>
    <col min="16134" max="16134" width="9.140625" style="892"/>
    <col min="16135" max="16135" width="52.140625" style="892" customWidth="1"/>
    <col min="16136" max="16136" width="19" style="892" customWidth="1"/>
    <col min="16137" max="16384" width="9.140625" style="892"/>
  </cols>
  <sheetData>
    <row r="1" spans="1:10" s="1245" customFormat="1" ht="18.75">
      <c r="A1" s="1237" t="s">
        <v>1549</v>
      </c>
      <c r="B1" s="1238" t="s">
        <v>279</v>
      </c>
      <c r="C1" s="1239"/>
      <c r="D1" s="1240"/>
      <c r="E1" s="1241"/>
      <c r="F1" s="1242"/>
      <c r="G1" s="1243"/>
      <c r="H1" s="1244"/>
      <c r="J1" s="1246"/>
    </row>
    <row r="2" spans="1:10">
      <c r="A2" s="1247"/>
      <c r="B2" s="1135"/>
      <c r="C2" s="1248"/>
      <c r="E2" s="1249"/>
      <c r="F2" s="1249"/>
    </row>
    <row r="3" spans="1:10">
      <c r="A3" s="1247"/>
      <c r="B3" s="1250" t="s">
        <v>280</v>
      </c>
      <c r="C3" s="1248"/>
      <c r="E3" s="1249"/>
      <c r="F3" s="1249"/>
    </row>
    <row r="4" spans="1:10">
      <c r="A4" s="1247"/>
      <c r="B4" s="1135"/>
      <c r="C4" s="1248"/>
      <c r="E4" s="1249"/>
      <c r="F4" s="1249"/>
    </row>
    <row r="5" spans="1:10" s="1258" customFormat="1" ht="84">
      <c r="A5" s="1251" t="s">
        <v>210</v>
      </c>
      <c r="B5" s="1252" t="s">
        <v>211</v>
      </c>
      <c r="C5" s="1251" t="s">
        <v>212</v>
      </c>
      <c r="D5" s="1253" t="s">
        <v>213</v>
      </c>
      <c r="E5" s="1251" t="s">
        <v>214</v>
      </c>
      <c r="F5" s="1254" t="s">
        <v>1614</v>
      </c>
      <c r="G5" s="1255"/>
      <c r="H5" s="1256"/>
      <c r="I5" s="1251"/>
      <c r="J5" s="1257"/>
    </row>
    <row r="6" spans="1:10" s="1258" customFormat="1">
      <c r="A6" s="1251"/>
      <c r="B6" s="1252"/>
      <c r="C6" s="1251"/>
      <c r="D6" s="1253"/>
      <c r="E6" s="1251"/>
      <c r="F6" s="1259"/>
      <c r="G6" s="1255"/>
      <c r="H6" s="1256"/>
      <c r="I6" s="1251"/>
      <c r="J6" s="1257"/>
    </row>
    <row r="7" spans="1:10" ht="26.25">
      <c r="A7" s="1260">
        <v>1</v>
      </c>
      <c r="B7" s="1261" t="s">
        <v>1662</v>
      </c>
      <c r="C7" s="1262" t="s">
        <v>72</v>
      </c>
      <c r="D7" s="1240">
        <v>1</v>
      </c>
      <c r="E7" s="1146"/>
      <c r="F7" s="1187">
        <f t="shared" ref="F7:F19" si="0">D7*E7</f>
        <v>0</v>
      </c>
    </row>
    <row r="8" spans="1:10" ht="38.25" customHeight="1">
      <c r="A8" s="1260">
        <v>2</v>
      </c>
      <c r="B8" s="1263" t="s">
        <v>281</v>
      </c>
      <c r="C8" s="1185" t="s">
        <v>72</v>
      </c>
      <c r="D8" s="1240">
        <v>1</v>
      </c>
      <c r="E8" s="1145"/>
      <c r="F8" s="1187">
        <f t="shared" si="0"/>
        <v>0</v>
      </c>
      <c r="H8" s="1181"/>
      <c r="I8" s="1264"/>
    </row>
    <row r="9" spans="1:10" ht="53.25" customHeight="1">
      <c r="A9" s="1260">
        <v>3</v>
      </c>
      <c r="B9" s="1210" t="s">
        <v>282</v>
      </c>
      <c r="C9" s="1265" t="s">
        <v>40</v>
      </c>
      <c r="D9" s="1240">
        <v>10.199999999999999</v>
      </c>
      <c r="E9" s="1146"/>
      <c r="F9" s="1187">
        <f t="shared" si="0"/>
        <v>0</v>
      </c>
      <c r="I9" s="1264"/>
    </row>
    <row r="10" spans="1:10" ht="92.25" customHeight="1">
      <c r="A10" s="1260">
        <v>4</v>
      </c>
      <c r="B10" s="1219" t="s">
        <v>283</v>
      </c>
      <c r="C10" s="1265" t="s">
        <v>217</v>
      </c>
      <c r="D10" s="1240">
        <v>540</v>
      </c>
      <c r="E10" s="1235"/>
      <c r="F10" s="1187">
        <f t="shared" si="0"/>
        <v>0</v>
      </c>
    </row>
    <row r="11" spans="1:10" ht="52.5" customHeight="1">
      <c r="A11" s="1260">
        <v>5</v>
      </c>
      <c r="B11" s="1219" t="s">
        <v>284</v>
      </c>
      <c r="C11" s="1265" t="s">
        <v>72</v>
      </c>
      <c r="D11" s="1240">
        <v>1</v>
      </c>
      <c r="E11" s="1235"/>
      <c r="F11" s="1187">
        <f t="shared" si="0"/>
        <v>0</v>
      </c>
    </row>
    <row r="12" spans="1:10" ht="50.25" customHeight="1">
      <c r="A12" s="1260">
        <v>6</v>
      </c>
      <c r="B12" s="1122" t="s">
        <v>285</v>
      </c>
      <c r="C12" s="1262" t="s">
        <v>40</v>
      </c>
      <c r="D12" s="1240">
        <v>60</v>
      </c>
      <c r="E12" s="1146"/>
      <c r="F12" s="1187">
        <f t="shared" si="0"/>
        <v>0</v>
      </c>
    </row>
    <row r="13" spans="1:10" ht="77.25" customHeight="1">
      <c r="A13" s="1260">
        <v>7</v>
      </c>
      <c r="B13" s="1263" t="s">
        <v>1550</v>
      </c>
      <c r="C13" s="1265" t="s">
        <v>40</v>
      </c>
      <c r="D13" s="1240">
        <v>1.8</v>
      </c>
      <c r="E13" s="1234"/>
      <c r="F13" s="1187">
        <f t="shared" si="0"/>
        <v>0</v>
      </c>
    </row>
    <row r="14" spans="1:10" ht="102" customHeight="1">
      <c r="A14" s="1260">
        <v>8</v>
      </c>
      <c r="B14" s="1267" t="s">
        <v>286</v>
      </c>
      <c r="C14" s="1185" t="s">
        <v>10</v>
      </c>
      <c r="D14" s="1240">
        <v>6</v>
      </c>
      <c r="E14" s="1235"/>
      <c r="F14" s="1187">
        <f t="shared" si="0"/>
        <v>0</v>
      </c>
    </row>
    <row r="15" spans="1:10" s="1154" customFormat="1" ht="89.25">
      <c r="A15" s="1260">
        <v>9</v>
      </c>
      <c r="B15" s="1196" t="s">
        <v>1575</v>
      </c>
      <c r="C15" s="1151" t="s">
        <v>10</v>
      </c>
      <c r="D15" s="1137">
        <v>11</v>
      </c>
      <c r="E15" s="1235"/>
      <c r="F15" s="1153">
        <f>D15*E15</f>
        <v>0</v>
      </c>
    </row>
    <row r="16" spans="1:10">
      <c r="A16" s="1260" t="s">
        <v>63</v>
      </c>
      <c r="B16" s="1122" t="s">
        <v>1447</v>
      </c>
      <c r="C16" s="1262" t="s">
        <v>272</v>
      </c>
      <c r="D16" s="1240">
        <v>0.8</v>
      </c>
      <c r="E16" s="1146"/>
      <c r="F16" s="1187">
        <f t="shared" si="0"/>
        <v>0</v>
      </c>
    </row>
    <row r="17" spans="1:7" ht="25.5">
      <c r="A17" s="1260" t="s">
        <v>1504</v>
      </c>
      <c r="B17" s="1268" t="s">
        <v>287</v>
      </c>
      <c r="C17" s="1262" t="s">
        <v>272</v>
      </c>
      <c r="D17" s="1240">
        <v>0.8</v>
      </c>
      <c r="E17" s="1236"/>
      <c r="F17" s="1269">
        <f t="shared" si="0"/>
        <v>0</v>
      </c>
    </row>
    <row r="18" spans="1:7" ht="25.5">
      <c r="A18" s="1260" t="s">
        <v>1505</v>
      </c>
      <c r="B18" s="1219" t="s">
        <v>288</v>
      </c>
      <c r="C18" s="1262" t="s">
        <v>72</v>
      </c>
      <c r="D18" s="1240">
        <v>1</v>
      </c>
      <c r="E18" s="1236"/>
      <c r="F18" s="1269">
        <f t="shared" si="0"/>
        <v>0</v>
      </c>
    </row>
    <row r="19" spans="1:7">
      <c r="A19" s="1260" t="s">
        <v>1506</v>
      </c>
      <c r="B19" s="1122" t="s">
        <v>289</v>
      </c>
      <c r="C19" s="1190" t="s">
        <v>72</v>
      </c>
      <c r="D19" s="1240">
        <v>1</v>
      </c>
      <c r="E19" s="1146"/>
      <c r="F19" s="1187">
        <f t="shared" si="0"/>
        <v>0</v>
      </c>
      <c r="G19" s="1181"/>
    </row>
    <row r="20" spans="1:7">
      <c r="A20" s="1260"/>
      <c r="B20" s="1122"/>
      <c r="D20" s="1270"/>
    </row>
    <row r="21" spans="1:7" s="1183" customFormat="1">
      <c r="A21" s="1247"/>
      <c r="B21" s="1135" t="s">
        <v>290</v>
      </c>
      <c r="C21" s="1248"/>
      <c r="D21" s="1240"/>
      <c r="E21" s="1249"/>
      <c r="F21" s="1249">
        <f>SUM(F7:F19)</f>
        <v>0</v>
      </c>
    </row>
    <row r="23" spans="1:7">
      <c r="B23" s="1135" t="s">
        <v>99</v>
      </c>
      <c r="C23" s="1248"/>
      <c r="E23" s="1249"/>
      <c r="F23" s="1249"/>
    </row>
    <row r="24" spans="1:7">
      <c r="B24" s="1135"/>
      <c r="C24" s="1248"/>
      <c r="E24" s="1249"/>
      <c r="F24" s="1249"/>
    </row>
    <row r="25" spans="1:7" s="1183" customFormat="1" ht="16.5" thickBot="1">
      <c r="A25" s="1272"/>
      <c r="B25" s="1273" t="s">
        <v>1551</v>
      </c>
      <c r="C25" s="1226"/>
      <c r="D25" s="1274"/>
      <c r="E25" s="1275"/>
      <c r="F25" s="1275">
        <f>F21</f>
        <v>0</v>
      </c>
    </row>
    <row r="26" spans="1:7" s="1183" customFormat="1" ht="16.5" thickTop="1">
      <c r="A26" s="1247"/>
      <c r="B26" s="1135"/>
      <c r="C26" s="1248"/>
      <c r="D26" s="1240"/>
      <c r="E26" s="1249"/>
      <c r="F26" s="1249"/>
    </row>
    <row r="27" spans="1:7">
      <c r="B27" s="1135" t="s">
        <v>44</v>
      </c>
      <c r="C27" s="1248" t="s">
        <v>101</v>
      </c>
      <c r="F27" s="1249">
        <f>SUM(F25:F25)</f>
        <v>0</v>
      </c>
    </row>
    <row r="28" spans="1:7">
      <c r="B28" s="892"/>
      <c r="C28" s="892"/>
      <c r="E28" s="892"/>
      <c r="F28" s="892"/>
    </row>
    <row r="29" spans="1:7">
      <c r="B29" s="892"/>
      <c r="C29" s="1262"/>
      <c r="E29" s="1266"/>
    </row>
    <row r="30" spans="1:7">
      <c r="D30" s="1276"/>
    </row>
    <row r="31" spans="1:7">
      <c r="D31" s="1276"/>
    </row>
    <row r="32" spans="1:7">
      <c r="D32" s="1276"/>
    </row>
    <row r="33" spans="4:4">
      <c r="D33" s="1276"/>
    </row>
    <row r="34" spans="4:4">
      <c r="D34" s="1276"/>
    </row>
    <row r="35" spans="4:4">
      <c r="D35" s="1276"/>
    </row>
    <row r="36" spans="4:4">
      <c r="D36" s="1276"/>
    </row>
    <row r="37" spans="4:4">
      <c r="D37" s="1276"/>
    </row>
    <row r="38" spans="4:4">
      <c r="D38" s="1276"/>
    </row>
    <row r="39" spans="4:4">
      <c r="D39" s="1276"/>
    </row>
    <row r="40" spans="4:4">
      <c r="D40" s="1276"/>
    </row>
    <row r="41" spans="4:4">
      <c r="D41" s="1276"/>
    </row>
    <row r="42" spans="4:4">
      <c r="D42" s="1276"/>
    </row>
    <row r="43" spans="4:4">
      <c r="D43" s="1276"/>
    </row>
    <row r="44" spans="4:4">
      <c r="D44" s="1276"/>
    </row>
    <row r="45" spans="4:4">
      <c r="D45" s="1276"/>
    </row>
    <row r="46" spans="4:4">
      <c r="D46" s="1276"/>
    </row>
    <row r="47" spans="4:4">
      <c r="D47" s="1276"/>
    </row>
    <row r="48" spans="4:4">
      <c r="D48" s="1276"/>
    </row>
    <row r="49" spans="4:4">
      <c r="D49" s="1276"/>
    </row>
    <row r="50" spans="4:4">
      <c r="D50" s="1276"/>
    </row>
    <row r="51" spans="4:4">
      <c r="D51" s="1276"/>
    </row>
    <row r="52" spans="4:4">
      <c r="D52" s="1276"/>
    </row>
    <row r="53" spans="4:4">
      <c r="D53" s="1276"/>
    </row>
    <row r="261" spans="4:4" ht="16.5" thickBot="1">
      <c r="D261" s="1274"/>
    </row>
    <row r="262" spans="4:4" ht="16.5" thickTop="1"/>
  </sheetData>
  <sheetProtection algorithmName="SHA-512" hashValue="zL7/i5qMRi/6hQw6CDLYFd3FD/VRpBvglKvwQ0CLcmbrCEtl3nD7uGawVxpmjXU1NuL0/sr0aPoWJ8UKwnDGSg==" saltValue="g1mus2OqkVV7d9ZDql//Sg==" spinCount="100000" sheet="1" objects="1" scenarios="1" selectLockedCells="1"/>
  <customSheetViews>
    <customSheetView guid="{14FA32B8-8DA0-4B39-A6E2-254F8891DDCC}" scale="60" showPageBreaks="1" printArea="1" view="pageBreakPreview">
      <selection activeCell="G15" sqref="G15"/>
      <pageMargins left="0.7" right="0.7" top="0.75" bottom="0.75" header="0.3" footer="0.3"/>
      <pageSetup paperSize="9" scale="86" orientation="portrait" r:id="rId1"/>
      <headerFooter>
        <oddHeader>&amp;CUREDITEV RAFUTSKEGA PARKA Z LAŠČAKOVO VILO - Park&amp;RLUZ, d.d.</oddHeader>
        <oddFooter>&amp;C&amp;P</oddFooter>
      </headerFooter>
    </customSheetView>
  </customSheetViews>
  <pageMargins left="0.7" right="0.7" top="0.75" bottom="0.75" header="0.3" footer="0.3"/>
  <pageSetup paperSize="9" scale="86" orientation="portrait" r:id="rId2"/>
  <headerFooter>
    <oddHeader>&amp;CUREDITEV RAFUTSKEGA PARKA Z LAŠČAKOVO VILO - Park&amp;RLUZ, d.d.</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theme="6" tint="0.59999389629810485"/>
  </sheetPr>
  <dimension ref="A1:J259"/>
  <sheetViews>
    <sheetView view="pageBreakPreview" zoomScale="80" zoomScaleNormal="100" zoomScaleSheetLayoutView="80" workbookViewId="0">
      <selection activeCell="E6" sqref="E6"/>
    </sheetView>
  </sheetViews>
  <sheetFormatPr defaultRowHeight="15.75"/>
  <cols>
    <col min="1" max="1" width="4.42578125" style="112" customWidth="1"/>
    <col min="2" max="2" width="45.7109375" style="141" customWidth="1"/>
    <col min="3" max="3" width="6.7109375" style="144" customWidth="1"/>
    <col min="4" max="4" width="7.85546875" style="360" bestFit="1" customWidth="1"/>
    <col min="5" max="5" width="12.85546875" style="135" customWidth="1"/>
    <col min="6" max="6" width="9.85546875" style="135" bestFit="1" customWidth="1"/>
    <col min="7" max="7" width="52.140625" style="115" customWidth="1"/>
    <col min="8" max="8" width="19" style="115" customWidth="1"/>
    <col min="9" max="256" width="9.140625" style="115"/>
    <col min="257" max="257" width="4.42578125" style="115" customWidth="1"/>
    <col min="258" max="258" width="45.7109375" style="115" customWidth="1"/>
    <col min="259" max="259" width="6.7109375" style="115" customWidth="1"/>
    <col min="260" max="260" width="7.85546875" style="115" bestFit="1" customWidth="1"/>
    <col min="261" max="261" width="12.85546875" style="115" customWidth="1"/>
    <col min="262" max="262" width="9.140625" style="115"/>
    <col min="263" max="263" width="52.140625" style="115" customWidth="1"/>
    <col min="264" max="264" width="19" style="115" customWidth="1"/>
    <col min="265" max="512" width="9.140625" style="115"/>
    <col min="513" max="513" width="4.42578125" style="115" customWidth="1"/>
    <col min="514" max="514" width="45.7109375" style="115" customWidth="1"/>
    <col min="515" max="515" width="6.7109375" style="115" customWidth="1"/>
    <col min="516" max="516" width="7.85546875" style="115" bestFit="1" customWidth="1"/>
    <col min="517" max="517" width="12.85546875" style="115" customWidth="1"/>
    <col min="518" max="518" width="9.140625" style="115"/>
    <col min="519" max="519" width="52.140625" style="115" customWidth="1"/>
    <col min="520" max="520" width="19" style="115" customWidth="1"/>
    <col min="521" max="768" width="9.140625" style="115"/>
    <col min="769" max="769" width="4.42578125" style="115" customWidth="1"/>
    <col min="770" max="770" width="45.7109375" style="115" customWidth="1"/>
    <col min="771" max="771" width="6.7109375" style="115" customWidth="1"/>
    <col min="772" max="772" width="7.85546875" style="115" bestFit="1" customWidth="1"/>
    <col min="773" max="773" width="12.85546875" style="115" customWidth="1"/>
    <col min="774" max="774" width="9.140625" style="115"/>
    <col min="775" max="775" width="52.140625" style="115" customWidth="1"/>
    <col min="776" max="776" width="19" style="115" customWidth="1"/>
    <col min="777" max="1024" width="9.140625" style="115"/>
    <col min="1025" max="1025" width="4.42578125" style="115" customWidth="1"/>
    <col min="1026" max="1026" width="45.7109375" style="115" customWidth="1"/>
    <col min="1027" max="1027" width="6.7109375" style="115" customWidth="1"/>
    <col min="1028" max="1028" width="7.85546875" style="115" bestFit="1" customWidth="1"/>
    <col min="1029" max="1029" width="12.85546875" style="115" customWidth="1"/>
    <col min="1030" max="1030" width="9.140625" style="115"/>
    <col min="1031" max="1031" width="52.140625" style="115" customWidth="1"/>
    <col min="1032" max="1032" width="19" style="115" customWidth="1"/>
    <col min="1033" max="1280" width="9.140625" style="115"/>
    <col min="1281" max="1281" width="4.42578125" style="115" customWidth="1"/>
    <col min="1282" max="1282" width="45.7109375" style="115" customWidth="1"/>
    <col min="1283" max="1283" width="6.7109375" style="115" customWidth="1"/>
    <col min="1284" max="1284" width="7.85546875" style="115" bestFit="1" customWidth="1"/>
    <col min="1285" max="1285" width="12.85546875" style="115" customWidth="1"/>
    <col min="1286" max="1286" width="9.140625" style="115"/>
    <col min="1287" max="1287" width="52.140625" style="115" customWidth="1"/>
    <col min="1288" max="1288" width="19" style="115" customWidth="1"/>
    <col min="1289" max="1536" width="9.140625" style="115"/>
    <col min="1537" max="1537" width="4.42578125" style="115" customWidth="1"/>
    <col min="1538" max="1538" width="45.7109375" style="115" customWidth="1"/>
    <col min="1539" max="1539" width="6.7109375" style="115" customWidth="1"/>
    <col min="1540" max="1540" width="7.85546875" style="115" bestFit="1" customWidth="1"/>
    <col min="1541" max="1541" width="12.85546875" style="115" customWidth="1"/>
    <col min="1542" max="1542" width="9.140625" style="115"/>
    <col min="1543" max="1543" width="52.140625" style="115" customWidth="1"/>
    <col min="1544" max="1544" width="19" style="115" customWidth="1"/>
    <col min="1545" max="1792" width="9.140625" style="115"/>
    <col min="1793" max="1793" width="4.42578125" style="115" customWidth="1"/>
    <col min="1794" max="1794" width="45.7109375" style="115" customWidth="1"/>
    <col min="1795" max="1795" width="6.7109375" style="115" customWidth="1"/>
    <col min="1796" max="1796" width="7.85546875" style="115" bestFit="1" customWidth="1"/>
    <col min="1797" max="1797" width="12.85546875" style="115" customWidth="1"/>
    <col min="1798" max="1798" width="9.140625" style="115"/>
    <col min="1799" max="1799" width="52.140625" style="115" customWidth="1"/>
    <col min="1800" max="1800" width="19" style="115" customWidth="1"/>
    <col min="1801" max="2048" width="9.140625" style="115"/>
    <col min="2049" max="2049" width="4.42578125" style="115" customWidth="1"/>
    <col min="2050" max="2050" width="45.7109375" style="115" customWidth="1"/>
    <col min="2051" max="2051" width="6.7109375" style="115" customWidth="1"/>
    <col min="2052" max="2052" width="7.85546875" style="115" bestFit="1" customWidth="1"/>
    <col min="2053" max="2053" width="12.85546875" style="115" customWidth="1"/>
    <col min="2054" max="2054" width="9.140625" style="115"/>
    <col min="2055" max="2055" width="52.140625" style="115" customWidth="1"/>
    <col min="2056" max="2056" width="19" style="115" customWidth="1"/>
    <col min="2057" max="2304" width="9.140625" style="115"/>
    <col min="2305" max="2305" width="4.42578125" style="115" customWidth="1"/>
    <col min="2306" max="2306" width="45.7109375" style="115" customWidth="1"/>
    <col min="2307" max="2307" width="6.7109375" style="115" customWidth="1"/>
    <col min="2308" max="2308" width="7.85546875" style="115" bestFit="1" customWidth="1"/>
    <col min="2309" max="2309" width="12.85546875" style="115" customWidth="1"/>
    <col min="2310" max="2310" width="9.140625" style="115"/>
    <col min="2311" max="2311" width="52.140625" style="115" customWidth="1"/>
    <col min="2312" max="2312" width="19" style="115" customWidth="1"/>
    <col min="2313" max="2560" width="9.140625" style="115"/>
    <col min="2561" max="2561" width="4.42578125" style="115" customWidth="1"/>
    <col min="2562" max="2562" width="45.7109375" style="115" customWidth="1"/>
    <col min="2563" max="2563" width="6.7109375" style="115" customWidth="1"/>
    <col min="2564" max="2564" width="7.85546875" style="115" bestFit="1" customWidth="1"/>
    <col min="2565" max="2565" width="12.85546875" style="115" customWidth="1"/>
    <col min="2566" max="2566" width="9.140625" style="115"/>
    <col min="2567" max="2567" width="52.140625" style="115" customWidth="1"/>
    <col min="2568" max="2568" width="19" style="115" customWidth="1"/>
    <col min="2569" max="2816" width="9.140625" style="115"/>
    <col min="2817" max="2817" width="4.42578125" style="115" customWidth="1"/>
    <col min="2818" max="2818" width="45.7109375" style="115" customWidth="1"/>
    <col min="2819" max="2819" width="6.7109375" style="115" customWidth="1"/>
    <col min="2820" max="2820" width="7.85546875" style="115" bestFit="1" customWidth="1"/>
    <col min="2821" max="2821" width="12.85546875" style="115" customWidth="1"/>
    <col min="2822" max="2822" width="9.140625" style="115"/>
    <col min="2823" max="2823" width="52.140625" style="115" customWidth="1"/>
    <col min="2824" max="2824" width="19" style="115" customWidth="1"/>
    <col min="2825" max="3072" width="9.140625" style="115"/>
    <col min="3073" max="3073" width="4.42578125" style="115" customWidth="1"/>
    <col min="3074" max="3074" width="45.7109375" style="115" customWidth="1"/>
    <col min="3075" max="3075" width="6.7109375" style="115" customWidth="1"/>
    <col min="3076" max="3076" width="7.85546875" style="115" bestFit="1" customWidth="1"/>
    <col min="3077" max="3077" width="12.85546875" style="115" customWidth="1"/>
    <col min="3078" max="3078" width="9.140625" style="115"/>
    <col min="3079" max="3079" width="52.140625" style="115" customWidth="1"/>
    <col min="3080" max="3080" width="19" style="115" customWidth="1"/>
    <col min="3081" max="3328" width="9.140625" style="115"/>
    <col min="3329" max="3329" width="4.42578125" style="115" customWidth="1"/>
    <col min="3330" max="3330" width="45.7109375" style="115" customWidth="1"/>
    <col min="3331" max="3331" width="6.7109375" style="115" customWidth="1"/>
    <col min="3332" max="3332" width="7.85546875" style="115" bestFit="1" customWidth="1"/>
    <col min="3333" max="3333" width="12.85546875" style="115" customWidth="1"/>
    <col min="3334" max="3334" width="9.140625" style="115"/>
    <col min="3335" max="3335" width="52.140625" style="115" customWidth="1"/>
    <col min="3336" max="3336" width="19" style="115" customWidth="1"/>
    <col min="3337" max="3584" width="9.140625" style="115"/>
    <col min="3585" max="3585" width="4.42578125" style="115" customWidth="1"/>
    <col min="3586" max="3586" width="45.7109375" style="115" customWidth="1"/>
    <col min="3587" max="3587" width="6.7109375" style="115" customWidth="1"/>
    <col min="3588" max="3588" width="7.85546875" style="115" bestFit="1" customWidth="1"/>
    <col min="3589" max="3589" width="12.85546875" style="115" customWidth="1"/>
    <col min="3590" max="3590" width="9.140625" style="115"/>
    <col min="3591" max="3591" width="52.140625" style="115" customWidth="1"/>
    <col min="3592" max="3592" width="19" style="115" customWidth="1"/>
    <col min="3593" max="3840" width="9.140625" style="115"/>
    <col min="3841" max="3841" width="4.42578125" style="115" customWidth="1"/>
    <col min="3842" max="3842" width="45.7109375" style="115" customWidth="1"/>
    <col min="3843" max="3843" width="6.7109375" style="115" customWidth="1"/>
    <col min="3844" max="3844" width="7.85546875" style="115" bestFit="1" customWidth="1"/>
    <col min="3845" max="3845" width="12.85546875" style="115" customWidth="1"/>
    <col min="3846" max="3846" width="9.140625" style="115"/>
    <col min="3847" max="3847" width="52.140625" style="115" customWidth="1"/>
    <col min="3848" max="3848" width="19" style="115" customWidth="1"/>
    <col min="3849" max="4096" width="9.140625" style="115"/>
    <col min="4097" max="4097" width="4.42578125" style="115" customWidth="1"/>
    <col min="4098" max="4098" width="45.7109375" style="115" customWidth="1"/>
    <col min="4099" max="4099" width="6.7109375" style="115" customWidth="1"/>
    <col min="4100" max="4100" width="7.85546875" style="115" bestFit="1" customWidth="1"/>
    <col min="4101" max="4101" width="12.85546875" style="115" customWidth="1"/>
    <col min="4102" max="4102" width="9.140625" style="115"/>
    <col min="4103" max="4103" width="52.140625" style="115" customWidth="1"/>
    <col min="4104" max="4104" width="19" style="115" customWidth="1"/>
    <col min="4105" max="4352" width="9.140625" style="115"/>
    <col min="4353" max="4353" width="4.42578125" style="115" customWidth="1"/>
    <col min="4354" max="4354" width="45.7109375" style="115" customWidth="1"/>
    <col min="4355" max="4355" width="6.7109375" style="115" customWidth="1"/>
    <col min="4356" max="4356" width="7.85546875" style="115" bestFit="1" customWidth="1"/>
    <col min="4357" max="4357" width="12.85546875" style="115" customWidth="1"/>
    <col min="4358" max="4358" width="9.140625" style="115"/>
    <col min="4359" max="4359" width="52.140625" style="115" customWidth="1"/>
    <col min="4360" max="4360" width="19" style="115" customWidth="1"/>
    <col min="4361" max="4608" width="9.140625" style="115"/>
    <col min="4609" max="4609" width="4.42578125" style="115" customWidth="1"/>
    <col min="4610" max="4610" width="45.7109375" style="115" customWidth="1"/>
    <col min="4611" max="4611" width="6.7109375" style="115" customWidth="1"/>
    <col min="4612" max="4612" width="7.85546875" style="115" bestFit="1" customWidth="1"/>
    <col min="4613" max="4613" width="12.85546875" style="115" customWidth="1"/>
    <col min="4614" max="4614" width="9.140625" style="115"/>
    <col min="4615" max="4615" width="52.140625" style="115" customWidth="1"/>
    <col min="4616" max="4616" width="19" style="115" customWidth="1"/>
    <col min="4617" max="4864" width="9.140625" style="115"/>
    <col min="4865" max="4865" width="4.42578125" style="115" customWidth="1"/>
    <col min="4866" max="4866" width="45.7109375" style="115" customWidth="1"/>
    <col min="4867" max="4867" width="6.7109375" style="115" customWidth="1"/>
    <col min="4868" max="4868" width="7.85546875" style="115" bestFit="1" customWidth="1"/>
    <col min="4869" max="4869" width="12.85546875" style="115" customWidth="1"/>
    <col min="4870" max="4870" width="9.140625" style="115"/>
    <col min="4871" max="4871" width="52.140625" style="115" customWidth="1"/>
    <col min="4872" max="4872" width="19" style="115" customWidth="1"/>
    <col min="4873" max="5120" width="9.140625" style="115"/>
    <col min="5121" max="5121" width="4.42578125" style="115" customWidth="1"/>
    <col min="5122" max="5122" width="45.7109375" style="115" customWidth="1"/>
    <col min="5123" max="5123" width="6.7109375" style="115" customWidth="1"/>
    <col min="5124" max="5124" width="7.85546875" style="115" bestFit="1" customWidth="1"/>
    <col min="5125" max="5125" width="12.85546875" style="115" customWidth="1"/>
    <col min="5126" max="5126" width="9.140625" style="115"/>
    <col min="5127" max="5127" width="52.140625" style="115" customWidth="1"/>
    <col min="5128" max="5128" width="19" style="115" customWidth="1"/>
    <col min="5129" max="5376" width="9.140625" style="115"/>
    <col min="5377" max="5377" width="4.42578125" style="115" customWidth="1"/>
    <col min="5378" max="5378" width="45.7109375" style="115" customWidth="1"/>
    <col min="5379" max="5379" width="6.7109375" style="115" customWidth="1"/>
    <col min="5380" max="5380" width="7.85546875" style="115" bestFit="1" customWidth="1"/>
    <col min="5381" max="5381" width="12.85546875" style="115" customWidth="1"/>
    <col min="5382" max="5382" width="9.140625" style="115"/>
    <col min="5383" max="5383" width="52.140625" style="115" customWidth="1"/>
    <col min="5384" max="5384" width="19" style="115" customWidth="1"/>
    <col min="5385" max="5632" width="9.140625" style="115"/>
    <col min="5633" max="5633" width="4.42578125" style="115" customWidth="1"/>
    <col min="5634" max="5634" width="45.7109375" style="115" customWidth="1"/>
    <col min="5635" max="5635" width="6.7109375" style="115" customWidth="1"/>
    <col min="5636" max="5636" width="7.85546875" style="115" bestFit="1" customWidth="1"/>
    <col min="5637" max="5637" width="12.85546875" style="115" customWidth="1"/>
    <col min="5638" max="5638" width="9.140625" style="115"/>
    <col min="5639" max="5639" width="52.140625" style="115" customWidth="1"/>
    <col min="5640" max="5640" width="19" style="115" customWidth="1"/>
    <col min="5641" max="5888" width="9.140625" style="115"/>
    <col min="5889" max="5889" width="4.42578125" style="115" customWidth="1"/>
    <col min="5890" max="5890" width="45.7109375" style="115" customWidth="1"/>
    <col min="5891" max="5891" width="6.7109375" style="115" customWidth="1"/>
    <col min="5892" max="5892" width="7.85546875" style="115" bestFit="1" customWidth="1"/>
    <col min="5893" max="5893" width="12.85546875" style="115" customWidth="1"/>
    <col min="5894" max="5894" width="9.140625" style="115"/>
    <col min="5895" max="5895" width="52.140625" style="115" customWidth="1"/>
    <col min="5896" max="5896" width="19" style="115" customWidth="1"/>
    <col min="5897" max="6144" width="9.140625" style="115"/>
    <col min="6145" max="6145" width="4.42578125" style="115" customWidth="1"/>
    <col min="6146" max="6146" width="45.7109375" style="115" customWidth="1"/>
    <col min="6147" max="6147" width="6.7109375" style="115" customWidth="1"/>
    <col min="6148" max="6148" width="7.85546875" style="115" bestFit="1" customWidth="1"/>
    <col min="6149" max="6149" width="12.85546875" style="115" customWidth="1"/>
    <col min="6150" max="6150" width="9.140625" style="115"/>
    <col min="6151" max="6151" width="52.140625" style="115" customWidth="1"/>
    <col min="6152" max="6152" width="19" style="115" customWidth="1"/>
    <col min="6153" max="6400" width="9.140625" style="115"/>
    <col min="6401" max="6401" width="4.42578125" style="115" customWidth="1"/>
    <col min="6402" max="6402" width="45.7109375" style="115" customWidth="1"/>
    <col min="6403" max="6403" width="6.7109375" style="115" customWidth="1"/>
    <col min="6404" max="6404" width="7.85546875" style="115" bestFit="1" customWidth="1"/>
    <col min="6405" max="6405" width="12.85546875" style="115" customWidth="1"/>
    <col min="6406" max="6406" width="9.140625" style="115"/>
    <col min="6407" max="6407" width="52.140625" style="115" customWidth="1"/>
    <col min="6408" max="6408" width="19" style="115" customWidth="1"/>
    <col min="6409" max="6656" width="9.140625" style="115"/>
    <col min="6657" max="6657" width="4.42578125" style="115" customWidth="1"/>
    <col min="6658" max="6658" width="45.7109375" style="115" customWidth="1"/>
    <col min="6659" max="6659" width="6.7109375" style="115" customWidth="1"/>
    <col min="6660" max="6660" width="7.85546875" style="115" bestFit="1" customWidth="1"/>
    <col min="6661" max="6661" width="12.85546875" style="115" customWidth="1"/>
    <col min="6662" max="6662" width="9.140625" style="115"/>
    <col min="6663" max="6663" width="52.140625" style="115" customWidth="1"/>
    <col min="6664" max="6664" width="19" style="115" customWidth="1"/>
    <col min="6665" max="6912" width="9.140625" style="115"/>
    <col min="6913" max="6913" width="4.42578125" style="115" customWidth="1"/>
    <col min="6914" max="6914" width="45.7109375" style="115" customWidth="1"/>
    <col min="6915" max="6915" width="6.7109375" style="115" customWidth="1"/>
    <col min="6916" max="6916" width="7.85546875" style="115" bestFit="1" customWidth="1"/>
    <col min="6917" max="6917" width="12.85546875" style="115" customWidth="1"/>
    <col min="6918" max="6918" width="9.140625" style="115"/>
    <col min="6919" max="6919" width="52.140625" style="115" customWidth="1"/>
    <col min="6920" max="6920" width="19" style="115" customWidth="1"/>
    <col min="6921" max="7168" width="9.140625" style="115"/>
    <col min="7169" max="7169" width="4.42578125" style="115" customWidth="1"/>
    <col min="7170" max="7170" width="45.7109375" style="115" customWidth="1"/>
    <col min="7171" max="7171" width="6.7109375" style="115" customWidth="1"/>
    <col min="7172" max="7172" width="7.85546875" style="115" bestFit="1" customWidth="1"/>
    <col min="7173" max="7173" width="12.85546875" style="115" customWidth="1"/>
    <col min="7174" max="7174" width="9.140625" style="115"/>
    <col min="7175" max="7175" width="52.140625" style="115" customWidth="1"/>
    <col min="7176" max="7176" width="19" style="115" customWidth="1"/>
    <col min="7177" max="7424" width="9.140625" style="115"/>
    <col min="7425" max="7425" width="4.42578125" style="115" customWidth="1"/>
    <col min="7426" max="7426" width="45.7109375" style="115" customWidth="1"/>
    <col min="7427" max="7427" width="6.7109375" style="115" customWidth="1"/>
    <col min="7428" max="7428" width="7.85546875" style="115" bestFit="1" customWidth="1"/>
    <col min="7429" max="7429" width="12.85546875" style="115" customWidth="1"/>
    <col min="7430" max="7430" width="9.140625" style="115"/>
    <col min="7431" max="7431" width="52.140625" style="115" customWidth="1"/>
    <col min="7432" max="7432" width="19" style="115" customWidth="1"/>
    <col min="7433" max="7680" width="9.140625" style="115"/>
    <col min="7681" max="7681" width="4.42578125" style="115" customWidth="1"/>
    <col min="7682" max="7682" width="45.7109375" style="115" customWidth="1"/>
    <col min="7683" max="7683" width="6.7109375" style="115" customWidth="1"/>
    <col min="7684" max="7684" width="7.85546875" style="115" bestFit="1" customWidth="1"/>
    <col min="7685" max="7685" width="12.85546875" style="115" customWidth="1"/>
    <col min="7686" max="7686" width="9.140625" style="115"/>
    <col min="7687" max="7687" width="52.140625" style="115" customWidth="1"/>
    <col min="7688" max="7688" width="19" style="115" customWidth="1"/>
    <col min="7689" max="7936" width="9.140625" style="115"/>
    <col min="7937" max="7937" width="4.42578125" style="115" customWidth="1"/>
    <col min="7938" max="7938" width="45.7109375" style="115" customWidth="1"/>
    <col min="7939" max="7939" width="6.7109375" style="115" customWidth="1"/>
    <col min="7940" max="7940" width="7.85546875" style="115" bestFit="1" customWidth="1"/>
    <col min="7941" max="7941" width="12.85546875" style="115" customWidth="1"/>
    <col min="7942" max="7942" width="9.140625" style="115"/>
    <col min="7943" max="7943" width="52.140625" style="115" customWidth="1"/>
    <col min="7944" max="7944" width="19" style="115" customWidth="1"/>
    <col min="7945" max="8192" width="9.140625" style="115"/>
    <col min="8193" max="8193" width="4.42578125" style="115" customWidth="1"/>
    <col min="8194" max="8194" width="45.7109375" style="115" customWidth="1"/>
    <col min="8195" max="8195" width="6.7109375" style="115" customWidth="1"/>
    <col min="8196" max="8196" width="7.85546875" style="115" bestFit="1" customWidth="1"/>
    <col min="8197" max="8197" width="12.85546875" style="115" customWidth="1"/>
    <col min="8198" max="8198" width="9.140625" style="115"/>
    <col min="8199" max="8199" width="52.140625" style="115" customWidth="1"/>
    <col min="8200" max="8200" width="19" style="115" customWidth="1"/>
    <col min="8201" max="8448" width="9.140625" style="115"/>
    <col min="8449" max="8449" width="4.42578125" style="115" customWidth="1"/>
    <col min="8450" max="8450" width="45.7109375" style="115" customWidth="1"/>
    <col min="8451" max="8451" width="6.7109375" style="115" customWidth="1"/>
    <col min="8452" max="8452" width="7.85546875" style="115" bestFit="1" customWidth="1"/>
    <col min="8453" max="8453" width="12.85546875" style="115" customWidth="1"/>
    <col min="8454" max="8454" width="9.140625" style="115"/>
    <col min="8455" max="8455" width="52.140625" style="115" customWidth="1"/>
    <col min="8456" max="8456" width="19" style="115" customWidth="1"/>
    <col min="8457" max="8704" width="9.140625" style="115"/>
    <col min="8705" max="8705" width="4.42578125" style="115" customWidth="1"/>
    <col min="8706" max="8706" width="45.7109375" style="115" customWidth="1"/>
    <col min="8707" max="8707" width="6.7109375" style="115" customWidth="1"/>
    <col min="8708" max="8708" width="7.85546875" style="115" bestFit="1" customWidth="1"/>
    <col min="8709" max="8709" width="12.85546875" style="115" customWidth="1"/>
    <col min="8710" max="8710" width="9.140625" style="115"/>
    <col min="8711" max="8711" width="52.140625" style="115" customWidth="1"/>
    <col min="8712" max="8712" width="19" style="115" customWidth="1"/>
    <col min="8713" max="8960" width="9.140625" style="115"/>
    <col min="8961" max="8961" width="4.42578125" style="115" customWidth="1"/>
    <col min="8962" max="8962" width="45.7109375" style="115" customWidth="1"/>
    <col min="8963" max="8963" width="6.7109375" style="115" customWidth="1"/>
    <col min="8964" max="8964" width="7.85546875" style="115" bestFit="1" customWidth="1"/>
    <col min="8965" max="8965" width="12.85546875" style="115" customWidth="1"/>
    <col min="8966" max="8966" width="9.140625" style="115"/>
    <col min="8967" max="8967" width="52.140625" style="115" customWidth="1"/>
    <col min="8968" max="8968" width="19" style="115" customWidth="1"/>
    <col min="8969" max="9216" width="9.140625" style="115"/>
    <col min="9217" max="9217" width="4.42578125" style="115" customWidth="1"/>
    <col min="9218" max="9218" width="45.7109375" style="115" customWidth="1"/>
    <col min="9219" max="9219" width="6.7109375" style="115" customWidth="1"/>
    <col min="9220" max="9220" width="7.85546875" style="115" bestFit="1" customWidth="1"/>
    <col min="9221" max="9221" width="12.85546875" style="115" customWidth="1"/>
    <col min="9222" max="9222" width="9.140625" style="115"/>
    <col min="9223" max="9223" width="52.140625" style="115" customWidth="1"/>
    <col min="9224" max="9224" width="19" style="115" customWidth="1"/>
    <col min="9225" max="9472" width="9.140625" style="115"/>
    <col min="9473" max="9473" width="4.42578125" style="115" customWidth="1"/>
    <col min="9474" max="9474" width="45.7109375" style="115" customWidth="1"/>
    <col min="9475" max="9475" width="6.7109375" style="115" customWidth="1"/>
    <col min="9476" max="9476" width="7.85546875" style="115" bestFit="1" customWidth="1"/>
    <col min="9477" max="9477" width="12.85546875" style="115" customWidth="1"/>
    <col min="9478" max="9478" width="9.140625" style="115"/>
    <col min="9479" max="9479" width="52.140625" style="115" customWidth="1"/>
    <col min="9480" max="9480" width="19" style="115" customWidth="1"/>
    <col min="9481" max="9728" width="9.140625" style="115"/>
    <col min="9729" max="9729" width="4.42578125" style="115" customWidth="1"/>
    <col min="9730" max="9730" width="45.7109375" style="115" customWidth="1"/>
    <col min="9731" max="9731" width="6.7109375" style="115" customWidth="1"/>
    <col min="9732" max="9732" width="7.85546875" style="115" bestFit="1" customWidth="1"/>
    <col min="9733" max="9733" width="12.85546875" style="115" customWidth="1"/>
    <col min="9734" max="9734" width="9.140625" style="115"/>
    <col min="9735" max="9735" width="52.140625" style="115" customWidth="1"/>
    <col min="9736" max="9736" width="19" style="115" customWidth="1"/>
    <col min="9737" max="9984" width="9.140625" style="115"/>
    <col min="9985" max="9985" width="4.42578125" style="115" customWidth="1"/>
    <col min="9986" max="9986" width="45.7109375" style="115" customWidth="1"/>
    <col min="9987" max="9987" width="6.7109375" style="115" customWidth="1"/>
    <col min="9988" max="9988" width="7.85546875" style="115" bestFit="1" customWidth="1"/>
    <col min="9989" max="9989" width="12.85546875" style="115" customWidth="1"/>
    <col min="9990" max="9990" width="9.140625" style="115"/>
    <col min="9991" max="9991" width="52.140625" style="115" customWidth="1"/>
    <col min="9992" max="9992" width="19" style="115" customWidth="1"/>
    <col min="9993" max="10240" width="9.140625" style="115"/>
    <col min="10241" max="10241" width="4.42578125" style="115" customWidth="1"/>
    <col min="10242" max="10242" width="45.7109375" style="115" customWidth="1"/>
    <col min="10243" max="10243" width="6.7109375" style="115" customWidth="1"/>
    <col min="10244" max="10244" width="7.85546875" style="115" bestFit="1" customWidth="1"/>
    <col min="10245" max="10245" width="12.85546875" style="115" customWidth="1"/>
    <col min="10246" max="10246" width="9.140625" style="115"/>
    <col min="10247" max="10247" width="52.140625" style="115" customWidth="1"/>
    <col min="10248" max="10248" width="19" style="115" customWidth="1"/>
    <col min="10249" max="10496" width="9.140625" style="115"/>
    <col min="10497" max="10497" width="4.42578125" style="115" customWidth="1"/>
    <col min="10498" max="10498" width="45.7109375" style="115" customWidth="1"/>
    <col min="10499" max="10499" width="6.7109375" style="115" customWidth="1"/>
    <col min="10500" max="10500" width="7.85546875" style="115" bestFit="1" customWidth="1"/>
    <col min="10501" max="10501" width="12.85546875" style="115" customWidth="1"/>
    <col min="10502" max="10502" width="9.140625" style="115"/>
    <col min="10503" max="10503" width="52.140625" style="115" customWidth="1"/>
    <col min="10504" max="10504" width="19" style="115" customWidth="1"/>
    <col min="10505" max="10752" width="9.140625" style="115"/>
    <col min="10753" max="10753" width="4.42578125" style="115" customWidth="1"/>
    <col min="10754" max="10754" width="45.7109375" style="115" customWidth="1"/>
    <col min="10755" max="10755" width="6.7109375" style="115" customWidth="1"/>
    <col min="10756" max="10756" width="7.85546875" style="115" bestFit="1" customWidth="1"/>
    <col min="10757" max="10757" width="12.85546875" style="115" customWidth="1"/>
    <col min="10758" max="10758" width="9.140625" style="115"/>
    <col min="10759" max="10759" width="52.140625" style="115" customWidth="1"/>
    <col min="10760" max="10760" width="19" style="115" customWidth="1"/>
    <col min="10761" max="11008" width="9.140625" style="115"/>
    <col min="11009" max="11009" width="4.42578125" style="115" customWidth="1"/>
    <col min="11010" max="11010" width="45.7109375" style="115" customWidth="1"/>
    <col min="11011" max="11011" width="6.7109375" style="115" customWidth="1"/>
    <col min="11012" max="11012" width="7.85546875" style="115" bestFit="1" customWidth="1"/>
    <col min="11013" max="11013" width="12.85546875" style="115" customWidth="1"/>
    <col min="11014" max="11014" width="9.140625" style="115"/>
    <col min="11015" max="11015" width="52.140625" style="115" customWidth="1"/>
    <col min="11016" max="11016" width="19" style="115" customWidth="1"/>
    <col min="11017" max="11264" width="9.140625" style="115"/>
    <col min="11265" max="11265" width="4.42578125" style="115" customWidth="1"/>
    <col min="11266" max="11266" width="45.7109375" style="115" customWidth="1"/>
    <col min="11267" max="11267" width="6.7109375" style="115" customWidth="1"/>
    <col min="11268" max="11268" width="7.85546875" style="115" bestFit="1" customWidth="1"/>
    <col min="11269" max="11269" width="12.85546875" style="115" customWidth="1"/>
    <col min="11270" max="11270" width="9.140625" style="115"/>
    <col min="11271" max="11271" width="52.140625" style="115" customWidth="1"/>
    <col min="11272" max="11272" width="19" style="115" customWidth="1"/>
    <col min="11273" max="11520" width="9.140625" style="115"/>
    <col min="11521" max="11521" width="4.42578125" style="115" customWidth="1"/>
    <col min="11522" max="11522" width="45.7109375" style="115" customWidth="1"/>
    <col min="11523" max="11523" width="6.7109375" style="115" customWidth="1"/>
    <col min="11524" max="11524" width="7.85546875" style="115" bestFit="1" customWidth="1"/>
    <col min="11525" max="11525" width="12.85546875" style="115" customWidth="1"/>
    <col min="11526" max="11526" width="9.140625" style="115"/>
    <col min="11527" max="11527" width="52.140625" style="115" customWidth="1"/>
    <col min="11528" max="11528" width="19" style="115" customWidth="1"/>
    <col min="11529" max="11776" width="9.140625" style="115"/>
    <col min="11777" max="11777" width="4.42578125" style="115" customWidth="1"/>
    <col min="11778" max="11778" width="45.7109375" style="115" customWidth="1"/>
    <col min="11779" max="11779" width="6.7109375" style="115" customWidth="1"/>
    <col min="11780" max="11780" width="7.85546875" style="115" bestFit="1" customWidth="1"/>
    <col min="11781" max="11781" width="12.85546875" style="115" customWidth="1"/>
    <col min="11782" max="11782" width="9.140625" style="115"/>
    <col min="11783" max="11783" width="52.140625" style="115" customWidth="1"/>
    <col min="11784" max="11784" width="19" style="115" customWidth="1"/>
    <col min="11785" max="12032" width="9.140625" style="115"/>
    <col min="12033" max="12033" width="4.42578125" style="115" customWidth="1"/>
    <col min="12034" max="12034" width="45.7109375" style="115" customWidth="1"/>
    <col min="12035" max="12035" width="6.7109375" style="115" customWidth="1"/>
    <col min="12036" max="12036" width="7.85546875" style="115" bestFit="1" customWidth="1"/>
    <col min="12037" max="12037" width="12.85546875" style="115" customWidth="1"/>
    <col min="12038" max="12038" width="9.140625" style="115"/>
    <col min="12039" max="12039" width="52.140625" style="115" customWidth="1"/>
    <col min="12040" max="12040" width="19" style="115" customWidth="1"/>
    <col min="12041" max="12288" width="9.140625" style="115"/>
    <col min="12289" max="12289" width="4.42578125" style="115" customWidth="1"/>
    <col min="12290" max="12290" width="45.7109375" style="115" customWidth="1"/>
    <col min="12291" max="12291" width="6.7109375" style="115" customWidth="1"/>
    <col min="12292" max="12292" width="7.85546875" style="115" bestFit="1" customWidth="1"/>
    <col min="12293" max="12293" width="12.85546875" style="115" customWidth="1"/>
    <col min="12294" max="12294" width="9.140625" style="115"/>
    <col min="12295" max="12295" width="52.140625" style="115" customWidth="1"/>
    <col min="12296" max="12296" width="19" style="115" customWidth="1"/>
    <col min="12297" max="12544" width="9.140625" style="115"/>
    <col min="12545" max="12545" width="4.42578125" style="115" customWidth="1"/>
    <col min="12546" max="12546" width="45.7109375" style="115" customWidth="1"/>
    <col min="12547" max="12547" width="6.7109375" style="115" customWidth="1"/>
    <col min="12548" max="12548" width="7.85546875" style="115" bestFit="1" customWidth="1"/>
    <col min="12549" max="12549" width="12.85546875" style="115" customWidth="1"/>
    <col min="12550" max="12550" width="9.140625" style="115"/>
    <col min="12551" max="12551" width="52.140625" style="115" customWidth="1"/>
    <col min="12552" max="12552" width="19" style="115" customWidth="1"/>
    <col min="12553" max="12800" width="9.140625" style="115"/>
    <col min="12801" max="12801" width="4.42578125" style="115" customWidth="1"/>
    <col min="12802" max="12802" width="45.7109375" style="115" customWidth="1"/>
    <col min="12803" max="12803" width="6.7109375" style="115" customWidth="1"/>
    <col min="12804" max="12804" width="7.85546875" style="115" bestFit="1" customWidth="1"/>
    <col min="12805" max="12805" width="12.85546875" style="115" customWidth="1"/>
    <col min="12806" max="12806" width="9.140625" style="115"/>
    <col min="12807" max="12807" width="52.140625" style="115" customWidth="1"/>
    <col min="12808" max="12808" width="19" style="115" customWidth="1"/>
    <col min="12809" max="13056" width="9.140625" style="115"/>
    <col min="13057" max="13057" width="4.42578125" style="115" customWidth="1"/>
    <col min="13058" max="13058" width="45.7109375" style="115" customWidth="1"/>
    <col min="13059" max="13059" width="6.7109375" style="115" customWidth="1"/>
    <col min="13060" max="13060" width="7.85546875" style="115" bestFit="1" customWidth="1"/>
    <col min="13061" max="13061" width="12.85546875" style="115" customWidth="1"/>
    <col min="13062" max="13062" width="9.140625" style="115"/>
    <col min="13063" max="13063" width="52.140625" style="115" customWidth="1"/>
    <col min="13064" max="13064" width="19" style="115" customWidth="1"/>
    <col min="13065" max="13312" width="9.140625" style="115"/>
    <col min="13313" max="13313" width="4.42578125" style="115" customWidth="1"/>
    <col min="13314" max="13314" width="45.7109375" style="115" customWidth="1"/>
    <col min="13315" max="13315" width="6.7109375" style="115" customWidth="1"/>
    <col min="13316" max="13316" width="7.85546875" style="115" bestFit="1" customWidth="1"/>
    <col min="13317" max="13317" width="12.85546875" style="115" customWidth="1"/>
    <col min="13318" max="13318" width="9.140625" style="115"/>
    <col min="13319" max="13319" width="52.140625" style="115" customWidth="1"/>
    <col min="13320" max="13320" width="19" style="115" customWidth="1"/>
    <col min="13321" max="13568" width="9.140625" style="115"/>
    <col min="13569" max="13569" width="4.42578125" style="115" customWidth="1"/>
    <col min="13570" max="13570" width="45.7109375" style="115" customWidth="1"/>
    <col min="13571" max="13571" width="6.7109375" style="115" customWidth="1"/>
    <col min="13572" max="13572" width="7.85546875" style="115" bestFit="1" customWidth="1"/>
    <col min="13573" max="13573" width="12.85546875" style="115" customWidth="1"/>
    <col min="13574" max="13574" width="9.140625" style="115"/>
    <col min="13575" max="13575" width="52.140625" style="115" customWidth="1"/>
    <col min="13576" max="13576" width="19" style="115" customWidth="1"/>
    <col min="13577" max="13824" width="9.140625" style="115"/>
    <col min="13825" max="13825" width="4.42578125" style="115" customWidth="1"/>
    <col min="13826" max="13826" width="45.7109375" style="115" customWidth="1"/>
    <col min="13827" max="13827" width="6.7109375" style="115" customWidth="1"/>
    <col min="13828" max="13828" width="7.85546875" style="115" bestFit="1" customWidth="1"/>
    <col min="13829" max="13829" width="12.85546875" style="115" customWidth="1"/>
    <col min="13830" max="13830" width="9.140625" style="115"/>
    <col min="13831" max="13831" width="52.140625" style="115" customWidth="1"/>
    <col min="13832" max="13832" width="19" style="115" customWidth="1"/>
    <col min="13833" max="14080" width="9.140625" style="115"/>
    <col min="14081" max="14081" width="4.42578125" style="115" customWidth="1"/>
    <col min="14082" max="14082" width="45.7109375" style="115" customWidth="1"/>
    <col min="14083" max="14083" width="6.7109375" style="115" customWidth="1"/>
    <col min="14084" max="14084" width="7.85546875" style="115" bestFit="1" customWidth="1"/>
    <col min="14085" max="14085" width="12.85546875" style="115" customWidth="1"/>
    <col min="14086" max="14086" width="9.140625" style="115"/>
    <col min="14087" max="14087" width="52.140625" style="115" customWidth="1"/>
    <col min="14088" max="14088" width="19" style="115" customWidth="1"/>
    <col min="14089" max="14336" width="9.140625" style="115"/>
    <col min="14337" max="14337" width="4.42578125" style="115" customWidth="1"/>
    <col min="14338" max="14338" width="45.7109375" style="115" customWidth="1"/>
    <col min="14339" max="14339" width="6.7109375" style="115" customWidth="1"/>
    <col min="14340" max="14340" width="7.85546875" style="115" bestFit="1" customWidth="1"/>
    <col min="14341" max="14341" width="12.85546875" style="115" customWidth="1"/>
    <col min="14342" max="14342" width="9.140625" style="115"/>
    <col min="14343" max="14343" width="52.140625" style="115" customWidth="1"/>
    <col min="14344" max="14344" width="19" style="115" customWidth="1"/>
    <col min="14345" max="14592" width="9.140625" style="115"/>
    <col min="14593" max="14593" width="4.42578125" style="115" customWidth="1"/>
    <col min="14594" max="14594" width="45.7109375" style="115" customWidth="1"/>
    <col min="14595" max="14595" width="6.7109375" style="115" customWidth="1"/>
    <col min="14596" max="14596" width="7.85546875" style="115" bestFit="1" customWidth="1"/>
    <col min="14597" max="14597" width="12.85546875" style="115" customWidth="1"/>
    <col min="14598" max="14598" width="9.140625" style="115"/>
    <col min="14599" max="14599" width="52.140625" style="115" customWidth="1"/>
    <col min="14600" max="14600" width="19" style="115" customWidth="1"/>
    <col min="14601" max="14848" width="9.140625" style="115"/>
    <col min="14849" max="14849" width="4.42578125" style="115" customWidth="1"/>
    <col min="14850" max="14850" width="45.7109375" style="115" customWidth="1"/>
    <col min="14851" max="14851" width="6.7109375" style="115" customWidth="1"/>
    <col min="14852" max="14852" width="7.85546875" style="115" bestFit="1" customWidth="1"/>
    <col min="14853" max="14853" width="12.85546875" style="115" customWidth="1"/>
    <col min="14854" max="14854" width="9.140625" style="115"/>
    <col min="14855" max="14855" width="52.140625" style="115" customWidth="1"/>
    <col min="14856" max="14856" width="19" style="115" customWidth="1"/>
    <col min="14857" max="15104" width="9.140625" style="115"/>
    <col min="15105" max="15105" width="4.42578125" style="115" customWidth="1"/>
    <col min="15106" max="15106" width="45.7109375" style="115" customWidth="1"/>
    <col min="15107" max="15107" width="6.7109375" style="115" customWidth="1"/>
    <col min="15108" max="15108" width="7.85546875" style="115" bestFit="1" customWidth="1"/>
    <col min="15109" max="15109" width="12.85546875" style="115" customWidth="1"/>
    <col min="15110" max="15110" width="9.140625" style="115"/>
    <col min="15111" max="15111" width="52.140625" style="115" customWidth="1"/>
    <col min="15112" max="15112" width="19" style="115" customWidth="1"/>
    <col min="15113" max="15360" width="9.140625" style="115"/>
    <col min="15361" max="15361" width="4.42578125" style="115" customWidth="1"/>
    <col min="15362" max="15362" width="45.7109375" style="115" customWidth="1"/>
    <col min="15363" max="15363" width="6.7109375" style="115" customWidth="1"/>
    <col min="15364" max="15364" width="7.85546875" style="115" bestFit="1" customWidth="1"/>
    <col min="15365" max="15365" width="12.85546875" style="115" customWidth="1"/>
    <col min="15366" max="15366" width="9.140625" style="115"/>
    <col min="15367" max="15367" width="52.140625" style="115" customWidth="1"/>
    <col min="15368" max="15368" width="19" style="115" customWidth="1"/>
    <col min="15369" max="15616" width="9.140625" style="115"/>
    <col min="15617" max="15617" width="4.42578125" style="115" customWidth="1"/>
    <col min="15618" max="15618" width="45.7109375" style="115" customWidth="1"/>
    <col min="15619" max="15619" width="6.7109375" style="115" customWidth="1"/>
    <col min="15620" max="15620" width="7.85546875" style="115" bestFit="1" customWidth="1"/>
    <col min="15621" max="15621" width="12.85546875" style="115" customWidth="1"/>
    <col min="15622" max="15622" width="9.140625" style="115"/>
    <col min="15623" max="15623" width="52.140625" style="115" customWidth="1"/>
    <col min="15624" max="15624" width="19" style="115" customWidth="1"/>
    <col min="15625" max="15872" width="9.140625" style="115"/>
    <col min="15873" max="15873" width="4.42578125" style="115" customWidth="1"/>
    <col min="15874" max="15874" width="45.7109375" style="115" customWidth="1"/>
    <col min="15875" max="15875" width="6.7109375" style="115" customWidth="1"/>
    <col min="15876" max="15876" width="7.85546875" style="115" bestFit="1" customWidth="1"/>
    <col min="15877" max="15877" width="12.85546875" style="115" customWidth="1"/>
    <col min="15878" max="15878" width="9.140625" style="115"/>
    <col min="15879" max="15879" width="52.140625" style="115" customWidth="1"/>
    <col min="15880" max="15880" width="19" style="115" customWidth="1"/>
    <col min="15881" max="16128" width="9.140625" style="115"/>
    <col min="16129" max="16129" width="4.42578125" style="115" customWidth="1"/>
    <col min="16130" max="16130" width="45.7109375" style="115" customWidth="1"/>
    <col min="16131" max="16131" width="6.7109375" style="115" customWidth="1"/>
    <col min="16132" max="16132" width="7.85546875" style="115" bestFit="1" customWidth="1"/>
    <col min="16133" max="16133" width="12.85546875" style="115" customWidth="1"/>
    <col min="16134" max="16134" width="9.140625" style="115"/>
    <col min="16135" max="16135" width="52.140625" style="115" customWidth="1"/>
    <col min="16136" max="16136" width="19" style="115" customWidth="1"/>
    <col min="16137" max="16384" width="9.140625" style="115"/>
  </cols>
  <sheetData>
    <row r="1" spans="1:10" s="122" customFormat="1" ht="18.75">
      <c r="A1" s="358" t="s">
        <v>1552</v>
      </c>
      <c r="B1" s="359" t="s">
        <v>209</v>
      </c>
      <c r="C1" s="124"/>
      <c r="E1" s="125"/>
      <c r="F1" s="119"/>
      <c r="G1" s="120"/>
      <c r="H1" s="121"/>
      <c r="J1" s="123"/>
    </row>
    <row r="2" spans="1:10">
      <c r="A2" s="118"/>
      <c r="B2" s="116"/>
      <c r="C2" s="113"/>
      <c r="E2" s="114"/>
      <c r="F2" s="114"/>
    </row>
    <row r="3" spans="1:10" s="134" customFormat="1" ht="79.5" customHeight="1">
      <c r="A3" s="126" t="s">
        <v>210</v>
      </c>
      <c r="B3" s="361" t="s">
        <v>211</v>
      </c>
      <c r="C3" s="126" t="s">
        <v>212</v>
      </c>
      <c r="D3" s="362" t="s">
        <v>213</v>
      </c>
      <c r="E3" s="126" t="s">
        <v>214</v>
      </c>
      <c r="F3" s="464" t="s">
        <v>1615</v>
      </c>
      <c r="G3" s="363"/>
      <c r="H3" s="364"/>
      <c r="I3" s="126"/>
      <c r="J3" s="365"/>
    </row>
    <row r="4" spans="1:10" s="134" customFormat="1" ht="24">
      <c r="A4" s="126"/>
      <c r="B4" s="127" t="s">
        <v>1680</v>
      </c>
      <c r="C4" s="126"/>
      <c r="D4" s="362"/>
      <c r="E4" s="126"/>
      <c r="F4" s="464"/>
      <c r="G4" s="363"/>
      <c r="H4" s="364"/>
      <c r="I4" s="126"/>
      <c r="J4" s="365"/>
    </row>
    <row r="5" spans="1:10" s="122" customFormat="1">
      <c r="A5" s="126"/>
      <c r="B5" s="127" t="s">
        <v>209</v>
      </c>
      <c r="C5" s="128"/>
      <c r="D5" s="360"/>
      <c r="E5" s="128"/>
      <c r="F5" s="129"/>
      <c r="G5" s="130"/>
      <c r="H5" s="131"/>
      <c r="I5" s="132"/>
      <c r="J5" s="133"/>
    </row>
    <row r="6" spans="1:10" ht="39">
      <c r="A6" s="354">
        <v>1</v>
      </c>
      <c r="B6" s="137" t="s">
        <v>1553</v>
      </c>
      <c r="C6" s="136" t="s">
        <v>10</v>
      </c>
      <c r="D6" s="360">
        <v>1</v>
      </c>
      <c r="E6" s="1145"/>
      <c r="F6" s="135">
        <f>D6*E6</f>
        <v>0</v>
      </c>
      <c r="H6" s="139"/>
      <c r="I6" s="140"/>
    </row>
    <row r="7" spans="1:10">
      <c r="A7" s="354"/>
      <c r="B7" s="137"/>
      <c r="C7" s="136"/>
      <c r="E7" s="139"/>
      <c r="H7" s="139"/>
      <c r="I7" s="140"/>
    </row>
    <row r="8" spans="1:10" ht="51.75">
      <c r="A8" s="354">
        <v>2</v>
      </c>
      <c r="B8" s="137" t="s">
        <v>1554</v>
      </c>
      <c r="C8" s="136" t="s">
        <v>72</v>
      </c>
      <c r="D8" s="360">
        <v>1</v>
      </c>
      <c r="E8" s="1145"/>
      <c r="F8" s="135">
        <f>D8*E8</f>
        <v>0</v>
      </c>
      <c r="H8" s="139"/>
      <c r="I8" s="140"/>
    </row>
    <row r="9" spans="1:10">
      <c r="A9" s="354"/>
      <c r="B9" s="137"/>
      <c r="C9" s="136"/>
      <c r="E9" s="139"/>
      <c r="H9" s="139"/>
      <c r="I9" s="140"/>
    </row>
    <row r="10" spans="1:10" ht="26.25">
      <c r="A10" s="354">
        <v>3</v>
      </c>
      <c r="B10" s="137" t="s">
        <v>291</v>
      </c>
      <c r="C10" s="136" t="s">
        <v>72</v>
      </c>
      <c r="D10" s="360">
        <v>2</v>
      </c>
      <c r="E10" s="1145"/>
      <c r="F10" s="135">
        <f>D10*E10</f>
        <v>0</v>
      </c>
      <c r="H10" s="139"/>
      <c r="I10" s="140"/>
    </row>
    <row r="11" spans="1:10">
      <c r="A11" s="354"/>
      <c r="B11" s="137"/>
      <c r="C11" s="136"/>
      <c r="E11" s="139"/>
      <c r="H11" s="139"/>
      <c r="I11" s="140"/>
    </row>
    <row r="12" spans="1:10" ht="114.75">
      <c r="A12" s="354">
        <v>4</v>
      </c>
      <c r="B12" s="143" t="s">
        <v>292</v>
      </c>
      <c r="C12" s="136" t="s">
        <v>72</v>
      </c>
      <c r="D12" s="360">
        <v>1</v>
      </c>
      <c r="E12" s="1145"/>
      <c r="F12" s="135">
        <f>D12*E12</f>
        <v>0</v>
      </c>
      <c r="H12" s="139"/>
      <c r="I12" s="140"/>
    </row>
    <row r="13" spans="1:10">
      <c r="A13" s="354"/>
      <c r="B13" s="137"/>
      <c r="C13" s="136"/>
      <c r="E13" s="139"/>
      <c r="H13" s="139"/>
      <c r="I13" s="140"/>
    </row>
    <row r="14" spans="1:10" ht="51.75">
      <c r="A14" s="354">
        <v>5</v>
      </c>
      <c r="B14" s="137" t="s">
        <v>1555</v>
      </c>
      <c r="C14" s="136" t="s">
        <v>10</v>
      </c>
      <c r="D14" s="360">
        <v>8</v>
      </c>
      <c r="E14" s="1145"/>
      <c r="F14" s="135">
        <f>D14*E14</f>
        <v>0</v>
      </c>
      <c r="H14" s="139"/>
      <c r="I14" s="140"/>
    </row>
    <row r="15" spans="1:10">
      <c r="A15" s="354"/>
      <c r="B15" s="137"/>
      <c r="C15" s="136"/>
      <c r="E15" s="139"/>
      <c r="H15" s="139"/>
      <c r="I15" s="140"/>
    </row>
    <row r="16" spans="1:10" ht="26.25">
      <c r="A16" s="354">
        <v>6</v>
      </c>
      <c r="B16" s="137" t="s">
        <v>1556</v>
      </c>
      <c r="C16" s="136" t="s">
        <v>10</v>
      </c>
      <c r="D16" s="360">
        <v>8</v>
      </c>
      <c r="E16" s="1145"/>
      <c r="F16" s="135">
        <f>D16*E16</f>
        <v>0</v>
      </c>
      <c r="H16" s="139"/>
      <c r="I16" s="140"/>
    </row>
    <row r="17" spans="1:9">
      <c r="A17" s="354"/>
      <c r="B17" s="137"/>
      <c r="C17" s="136"/>
      <c r="E17" s="139"/>
      <c r="H17" s="139"/>
      <c r="I17" s="140"/>
    </row>
    <row r="18" spans="1:9" ht="25.5">
      <c r="A18" s="354">
        <v>7</v>
      </c>
      <c r="B18" s="143" t="s">
        <v>293</v>
      </c>
      <c r="C18" s="136" t="s">
        <v>10</v>
      </c>
      <c r="D18" s="360">
        <v>8</v>
      </c>
      <c r="E18" s="1145"/>
      <c r="F18" s="135">
        <f>D18*E18</f>
        <v>0</v>
      </c>
      <c r="H18" s="139"/>
      <c r="I18" s="140"/>
    </row>
    <row r="19" spans="1:9">
      <c r="A19" s="354"/>
      <c r="B19" s="143"/>
      <c r="C19" s="136"/>
      <c r="E19" s="139"/>
      <c r="H19" s="139"/>
      <c r="I19" s="140"/>
    </row>
    <row r="20" spans="1:9" ht="76.5">
      <c r="A20" s="354">
        <v>8</v>
      </c>
      <c r="B20" s="143" t="s">
        <v>1557</v>
      </c>
      <c r="C20" s="136" t="s">
        <v>10</v>
      </c>
      <c r="D20" s="360">
        <v>8</v>
      </c>
      <c r="E20" s="1145"/>
      <c r="F20" s="135">
        <f>D20*E20</f>
        <v>0</v>
      </c>
      <c r="H20" s="139"/>
      <c r="I20" s="140"/>
    </row>
    <row r="21" spans="1:9">
      <c r="A21" s="354"/>
      <c r="B21" s="143"/>
      <c r="C21" s="136"/>
      <c r="E21" s="139"/>
      <c r="H21" s="139"/>
      <c r="I21" s="140"/>
    </row>
    <row r="22" spans="1:9" ht="39">
      <c r="A22" s="354">
        <v>9</v>
      </c>
      <c r="B22" s="137" t="s">
        <v>294</v>
      </c>
      <c r="C22" s="136" t="s">
        <v>10</v>
      </c>
      <c r="D22" s="360">
        <v>1</v>
      </c>
      <c r="E22" s="1145"/>
      <c r="F22" s="135">
        <f>D22*E22</f>
        <v>0</v>
      </c>
      <c r="H22" s="139"/>
      <c r="I22" s="140"/>
    </row>
    <row r="23" spans="1:9">
      <c r="A23" s="354"/>
      <c r="B23" s="137"/>
      <c r="C23" s="136"/>
      <c r="E23" s="139"/>
      <c r="H23" s="139"/>
      <c r="I23" s="140"/>
    </row>
    <row r="24" spans="1:9">
      <c r="A24" s="354">
        <v>10</v>
      </c>
      <c r="B24" s="137" t="s">
        <v>295</v>
      </c>
      <c r="C24" s="136" t="s">
        <v>10</v>
      </c>
      <c r="D24" s="360">
        <v>1</v>
      </c>
      <c r="E24" s="1145"/>
      <c r="F24" s="135">
        <f>D24*E24</f>
        <v>0</v>
      </c>
      <c r="H24" s="139"/>
      <c r="I24" s="140"/>
    </row>
    <row r="25" spans="1:9">
      <c r="A25" s="354"/>
      <c r="B25" s="137"/>
      <c r="C25" s="136"/>
      <c r="E25" s="139"/>
      <c r="H25" s="139"/>
      <c r="I25" s="140"/>
    </row>
    <row r="26" spans="1:9">
      <c r="A26" s="354">
        <v>11</v>
      </c>
      <c r="B26" s="137" t="s">
        <v>296</v>
      </c>
      <c r="C26" s="136" t="s">
        <v>10</v>
      </c>
      <c r="D26" s="360">
        <v>8</v>
      </c>
      <c r="E26" s="1145"/>
      <c r="F26" s="135">
        <f>D26*E26</f>
        <v>0</v>
      </c>
      <c r="H26" s="139"/>
      <c r="I26" s="140"/>
    </row>
    <row r="27" spans="1:9">
      <c r="A27" s="354"/>
      <c r="B27" s="137"/>
      <c r="C27" s="136"/>
      <c r="E27" s="139"/>
      <c r="H27" s="139"/>
      <c r="I27" s="140"/>
    </row>
    <row r="28" spans="1:9">
      <c r="A28" s="354">
        <v>12</v>
      </c>
      <c r="B28" s="137" t="s">
        <v>297</v>
      </c>
      <c r="C28" s="136" t="s">
        <v>217</v>
      </c>
      <c r="D28" s="360">
        <v>110</v>
      </c>
      <c r="E28" s="1145"/>
      <c r="F28" s="135">
        <f t="shared" ref="F28:F36" si="0">D28*E28</f>
        <v>0</v>
      </c>
      <c r="H28" s="139"/>
      <c r="I28" s="140"/>
    </row>
    <row r="29" spans="1:9">
      <c r="A29" s="354"/>
      <c r="B29" s="137"/>
      <c r="C29" s="136"/>
      <c r="E29" s="139"/>
      <c r="H29" s="139"/>
      <c r="I29" s="140"/>
    </row>
    <row r="30" spans="1:9" ht="128.25">
      <c r="A30" s="354">
        <v>13</v>
      </c>
      <c r="B30" s="137" t="s">
        <v>298</v>
      </c>
      <c r="C30" s="136" t="s">
        <v>10</v>
      </c>
      <c r="D30" s="360">
        <v>1</v>
      </c>
      <c r="E30" s="1145"/>
      <c r="F30" s="135">
        <f t="shared" si="0"/>
        <v>0</v>
      </c>
      <c r="H30" s="139"/>
      <c r="I30" s="140"/>
    </row>
    <row r="31" spans="1:9">
      <c r="A31" s="354"/>
      <c r="B31" s="137"/>
      <c r="C31" s="136"/>
      <c r="D31" s="367"/>
      <c r="E31" s="139"/>
      <c r="H31" s="139"/>
      <c r="I31" s="140"/>
    </row>
    <row r="32" spans="1:9" ht="51.75" customHeight="1">
      <c r="A32" s="354">
        <v>14</v>
      </c>
      <c r="B32" s="143" t="s">
        <v>299</v>
      </c>
      <c r="C32" s="136" t="s">
        <v>217</v>
      </c>
      <c r="D32" s="367">
        <v>80</v>
      </c>
      <c r="E32" s="1145"/>
      <c r="F32" s="135">
        <f t="shared" si="0"/>
        <v>0</v>
      </c>
      <c r="H32" s="139"/>
      <c r="I32" s="140"/>
    </row>
    <row r="33" spans="1:9" s="353" customFormat="1" ht="51.75" customHeight="1">
      <c r="A33" s="354">
        <v>15</v>
      </c>
      <c r="B33" s="357" t="s">
        <v>1558</v>
      </c>
      <c r="C33" s="351" t="s">
        <v>235</v>
      </c>
      <c r="D33" s="349">
        <v>8</v>
      </c>
      <c r="E33" s="1145"/>
      <c r="F33" s="352">
        <f>D33*E33</f>
        <v>0</v>
      </c>
    </row>
    <row r="34" spans="1:9" ht="39.75" customHeight="1">
      <c r="A34" s="354">
        <v>16</v>
      </c>
      <c r="B34" s="143" t="s">
        <v>300</v>
      </c>
      <c r="C34" s="136" t="s">
        <v>72</v>
      </c>
      <c r="D34" s="367">
        <v>1</v>
      </c>
      <c r="E34" s="1145"/>
      <c r="F34" s="135">
        <f t="shared" si="0"/>
        <v>0</v>
      </c>
      <c r="H34" s="139"/>
      <c r="I34" s="140"/>
    </row>
    <row r="35" spans="1:9" ht="39" customHeight="1">
      <c r="A35" s="354">
        <v>17</v>
      </c>
      <c r="B35" s="143" t="s">
        <v>301</v>
      </c>
      <c r="C35" s="136" t="s">
        <v>72</v>
      </c>
      <c r="D35" s="367">
        <v>1</v>
      </c>
      <c r="E35" s="1145"/>
      <c r="F35" s="135">
        <f t="shared" si="0"/>
        <v>0</v>
      </c>
      <c r="H35" s="139"/>
      <c r="I35" s="140"/>
    </row>
    <row r="36" spans="1:9" ht="16.5" thickBot="1">
      <c r="A36" s="368">
        <v>18</v>
      </c>
      <c r="B36" s="369" t="s">
        <v>302</v>
      </c>
      <c r="C36" s="370" t="s">
        <v>72</v>
      </c>
      <c r="D36" s="366">
        <v>1</v>
      </c>
      <c r="E36" s="1277"/>
      <c r="F36" s="371">
        <f t="shared" si="0"/>
        <v>0</v>
      </c>
      <c r="H36" s="139"/>
      <c r="I36" s="140"/>
    </row>
    <row r="37" spans="1:9" ht="16.5" thickTop="1">
      <c r="A37" s="372"/>
      <c r="B37" s="373"/>
      <c r="C37" s="356"/>
      <c r="E37" s="355"/>
      <c r="F37" s="374"/>
      <c r="H37" s="139"/>
      <c r="I37" s="140"/>
    </row>
    <row r="38" spans="1:9" s="117" customFormat="1">
      <c r="A38" s="118"/>
      <c r="B38" s="116" t="s">
        <v>44</v>
      </c>
      <c r="C38" s="113"/>
      <c r="D38" s="367"/>
      <c r="E38" s="114"/>
      <c r="F38" s="114">
        <f>SUM(F6:F36)</f>
        <v>0</v>
      </c>
    </row>
    <row r="39" spans="1:9">
      <c r="B39" s="115"/>
      <c r="C39" s="115"/>
      <c r="D39" s="367"/>
      <c r="E39" s="115"/>
      <c r="F39" s="115"/>
    </row>
    <row r="40" spans="1:9">
      <c r="B40" s="115"/>
      <c r="C40" s="138"/>
      <c r="D40" s="367"/>
      <c r="E40" s="142"/>
    </row>
    <row r="41" spans="1:9">
      <c r="D41" s="367"/>
    </row>
    <row r="42" spans="1:9">
      <c r="D42" s="367"/>
    </row>
    <row r="43" spans="1:9">
      <c r="D43" s="367"/>
    </row>
    <row r="44" spans="1:9">
      <c r="D44" s="367"/>
    </row>
    <row r="45" spans="1:9">
      <c r="D45" s="367"/>
    </row>
    <row r="46" spans="1:9">
      <c r="D46" s="367"/>
    </row>
    <row r="47" spans="1:9">
      <c r="D47" s="367"/>
    </row>
    <row r="48" spans="1:9">
      <c r="D48" s="367"/>
    </row>
    <row r="49" spans="4:4">
      <c r="D49" s="367"/>
    </row>
    <row r="50" spans="4:4">
      <c r="D50" s="367"/>
    </row>
    <row r="258" spans="4:4" ht="16.5" thickBot="1">
      <c r="D258" s="366"/>
    </row>
    <row r="259" spans="4:4" ht="16.5" thickTop="1"/>
  </sheetData>
  <sheetProtection algorithmName="SHA-512" hashValue="fvFr4Q9gKh0veEq7hbGgJfKheCjju07Bf4k6hvjfDN+dW2+o3402+CYsU96dUbgOYsFtr5tefejBhWBZOfAn6A==" saltValue="wWkENchjRhxdS02HI3LmXg==" spinCount="100000" sheet="1" objects="1" scenarios="1" selectLockedCells="1"/>
  <customSheetViews>
    <customSheetView guid="{14FA32B8-8DA0-4B39-A6E2-254F8891DDCC}" scale="60" showPageBreaks="1" printArea="1" view="pageBreakPreview" topLeftCell="A7">
      <selection activeCell="G34" sqref="G34"/>
      <pageMargins left="0.7" right="0.7" top="0.75" bottom="0.75" header="0.3" footer="0.3"/>
      <pageSetup paperSize="9" orientation="portrait" r:id="rId1"/>
      <headerFooter>
        <oddHeader>&amp;CUREDITEV RAFUTSKEGA PARKA Z LAŠČAKOVO VILO - Park&amp;RLUZ, d.d.</oddHeader>
        <oddFooter>&amp;C&amp;P</oddFooter>
      </headerFooter>
    </customSheetView>
  </customSheetViews>
  <pageMargins left="0.7" right="0.7" top="0.75" bottom="0.75" header="0.3" footer="0.3"/>
  <pageSetup paperSize="9" orientation="portrait" r:id="rId2"/>
  <headerFooter>
    <oddHeader>&amp;CUREDITEV RAFUTSKEGA PARKA Z LAŠČAKOVO VILO - Park&amp;RLUZ, d.d.</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tabColor rgb="FFFFFF00"/>
  </sheetPr>
  <dimension ref="A1:L11"/>
  <sheetViews>
    <sheetView view="pageBreakPreview" zoomScaleNormal="100" zoomScaleSheetLayoutView="100" workbookViewId="0"/>
  </sheetViews>
  <sheetFormatPr defaultRowHeight="15"/>
  <cols>
    <col min="1" max="1" width="28" customWidth="1"/>
    <col min="2" max="2" width="41.42578125" customWidth="1"/>
  </cols>
  <sheetData>
    <row r="1" spans="1:12" ht="28.5">
      <c r="A1" s="71" t="s">
        <v>24</v>
      </c>
      <c r="B1" s="72" t="s">
        <v>45</v>
      </c>
      <c r="G1" s="1376"/>
      <c r="H1" s="1376"/>
      <c r="I1" s="1376"/>
      <c r="J1" s="1376"/>
      <c r="K1" s="1376"/>
      <c r="L1" s="1376"/>
    </row>
    <row r="2" spans="1:12">
      <c r="A2" s="71" t="s">
        <v>26</v>
      </c>
      <c r="B2" s="73" t="s">
        <v>27</v>
      </c>
      <c r="G2" s="3"/>
      <c r="H2" s="3"/>
      <c r="I2" s="3"/>
      <c r="J2" s="3"/>
      <c r="K2" s="3"/>
      <c r="L2" s="3"/>
    </row>
    <row r="3" spans="1:12">
      <c r="A3" s="71" t="s">
        <v>25</v>
      </c>
      <c r="B3" s="74">
        <v>8697</v>
      </c>
      <c r="C3" s="2"/>
      <c r="D3" s="2"/>
    </row>
    <row r="4" spans="1:12" ht="42.75">
      <c r="A4" s="71" t="s">
        <v>28</v>
      </c>
      <c r="B4" s="72" t="s">
        <v>39</v>
      </c>
      <c r="C4" s="2"/>
      <c r="D4" s="2"/>
    </row>
    <row r="5" spans="1:12" ht="28.5">
      <c r="A5" s="71" t="s">
        <v>29</v>
      </c>
      <c r="B5" s="72" t="s">
        <v>38</v>
      </c>
      <c r="C5" s="2"/>
      <c r="D5" s="2"/>
    </row>
    <row r="6" spans="1:12" ht="28.5">
      <c r="A6" s="71" t="s">
        <v>36</v>
      </c>
      <c r="B6" s="570" t="s">
        <v>1711</v>
      </c>
      <c r="C6" s="2"/>
      <c r="D6" s="2"/>
    </row>
    <row r="7" spans="1:12">
      <c r="A7" s="2"/>
      <c r="B7" s="2"/>
      <c r="C7" s="2"/>
      <c r="D7" s="2"/>
    </row>
    <row r="8" spans="1:12">
      <c r="A8" s="2"/>
      <c r="B8" s="2"/>
      <c r="C8" s="2"/>
      <c r="D8" s="2"/>
    </row>
    <row r="9" spans="1:12">
      <c r="A9" s="1"/>
      <c r="B9" s="1"/>
      <c r="C9" s="2"/>
      <c r="D9" s="2"/>
    </row>
    <row r="10" spans="1:12">
      <c r="A10" s="2"/>
      <c r="B10" s="2"/>
      <c r="C10" s="2"/>
      <c r="D10" s="2"/>
    </row>
    <row r="11" spans="1:12">
      <c r="A11" s="2"/>
      <c r="B11" s="2"/>
      <c r="C11" s="2"/>
      <c r="D11" s="2"/>
    </row>
  </sheetData>
  <sheetProtection algorithmName="SHA-512" hashValue="AhTtIvRk7qGmWjgn02KWEIRtohtOpvpdw2ozlLkV1IQcS3+bDwwb0rPNzDfkhzVX/6Zf81bjO1sPN75yDqWK0Q==" saltValue="v76NdErOXA2HAmSqPFNbOQ==" spinCount="100000" sheet="1" objects="1" scenarios="1" selectLockedCells="1"/>
  <customSheetViews>
    <customSheetView guid="{14FA32B8-8DA0-4B39-A6E2-254F8891DDCC}" scale="60" showPageBreaks="1" printArea="1" view="pageBreakPreview">
      <selection activeCell="B6" sqref="B6"/>
      <pageMargins left="0.7" right="0.7" top="0.75" bottom="0.75" header="0.3" footer="0.3"/>
      <pageSetup paperSize="9" orientation="portrait" r:id="rId1"/>
      <headerFooter>
        <oddHeader>&amp;CUREDITEV RAFUTSKEGA PARKA Z LAŠČAKOVO VILO - Park&amp;RLUZ, d.d.</oddHeader>
        <oddFooter>&amp;C&amp;P</oddFooter>
      </headerFooter>
    </customSheetView>
  </customSheetViews>
  <mergeCells count="3">
    <mergeCell ref="G1:H1"/>
    <mergeCell ref="I1:J1"/>
    <mergeCell ref="K1:L1"/>
  </mergeCells>
  <pageMargins left="0.7" right="0.7" top="0.75" bottom="0.75" header="0.3" footer="0.3"/>
  <pageSetup paperSize="9" orientation="portrait" r:id="rId2"/>
  <headerFooter>
    <oddHeader>&amp;CUREDITEV RAFUTSKEGA PARKA Z LAŠČAKOVO VILO - Park&amp;RLUZ, d.d.</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59999389629810485"/>
  </sheetPr>
  <dimension ref="A1:AR76"/>
  <sheetViews>
    <sheetView showWhiteSpace="0" view="pageBreakPreview" topLeftCell="A51" zoomScale="80" zoomScaleNormal="100" zoomScaleSheetLayoutView="80" workbookViewId="0">
      <selection activeCell="E68" sqref="E68"/>
    </sheetView>
  </sheetViews>
  <sheetFormatPr defaultRowHeight="15"/>
  <cols>
    <col min="1" max="1" width="10.42578125" style="665" bestFit="1" customWidth="1"/>
    <col min="2" max="2" width="75.5703125" style="666" customWidth="1"/>
    <col min="3" max="3" width="6.42578125" style="676" bestFit="1" customWidth="1"/>
    <col min="4" max="4" width="9.42578125" style="667" bestFit="1" customWidth="1"/>
    <col min="5" max="5" width="11" style="668" bestFit="1" customWidth="1"/>
    <col min="6" max="6" width="13.7109375" style="677" bestFit="1" customWidth="1"/>
    <col min="7" max="7" width="14.140625" style="571" bestFit="1" customWidth="1"/>
    <col min="8" max="9" width="11" style="571" customWidth="1"/>
    <col min="10" max="16384" width="9.140625" style="571"/>
  </cols>
  <sheetData>
    <row r="1" spans="1:11">
      <c r="A1" s="1355" t="str">
        <f>Info!B1</f>
        <v>UREDITEV RAFUTSKEGA PARKA Z LAŠČAKOVO VILO - Park</v>
      </c>
      <c r="B1" s="1356"/>
      <c r="C1" s="1356"/>
      <c r="D1" s="1356"/>
      <c r="E1" s="1356"/>
      <c r="F1" s="1357"/>
    </row>
    <row r="2" spans="1:11" ht="15.75" thickBot="1">
      <c r="A2" s="1358"/>
      <c r="B2" s="1359"/>
      <c r="C2" s="1359"/>
      <c r="D2" s="1359"/>
      <c r="E2" s="1359"/>
      <c r="F2" s="1360"/>
    </row>
    <row r="3" spans="1:11" ht="15.75" thickBot="1">
      <c r="A3" s="1361"/>
      <c r="B3" s="1362"/>
      <c r="C3" s="5"/>
      <c r="D3" s="572"/>
      <c r="E3" s="573"/>
      <c r="F3" s="574"/>
    </row>
    <row r="4" spans="1:11" ht="18" thickBot="1">
      <c r="A4" s="1363" t="s">
        <v>1720</v>
      </c>
      <c r="B4" s="1364"/>
      <c r="C4" s="1364"/>
      <c r="D4" s="1364"/>
      <c r="E4" s="1364"/>
      <c r="F4" s="1365"/>
    </row>
    <row r="5" spans="1:11">
      <c r="A5" s="577"/>
      <c r="B5" s="578"/>
      <c r="C5" s="579"/>
      <c r="D5" s="579"/>
      <c r="E5" s="580"/>
      <c r="F5" s="581"/>
    </row>
    <row r="6" spans="1:11" ht="71.25">
      <c r="A6" s="582" t="s">
        <v>1</v>
      </c>
      <c r="B6" s="583" t="s">
        <v>2</v>
      </c>
      <c r="C6" s="584" t="s">
        <v>4</v>
      </c>
      <c r="D6" s="585" t="s">
        <v>9</v>
      </c>
      <c r="E6" s="586" t="s">
        <v>5</v>
      </c>
      <c r="F6" s="587" t="s">
        <v>6</v>
      </c>
      <c r="G6" s="586" t="s">
        <v>1609</v>
      </c>
      <c r="H6" s="588" t="s">
        <v>1610</v>
      </c>
      <c r="I6" s="586" t="s">
        <v>1596</v>
      </c>
    </row>
    <row r="7" spans="1:11" ht="15.75" thickBot="1">
      <c r="A7" s="589"/>
      <c r="B7" s="590"/>
      <c r="C7" s="591"/>
      <c r="D7" s="592"/>
      <c r="E7" s="593"/>
      <c r="F7" s="594"/>
      <c r="G7" s="595"/>
      <c r="H7" s="595"/>
      <c r="I7" s="595"/>
    </row>
    <row r="8" spans="1:11" ht="18" thickBot="1">
      <c r="A8" s="596" t="s">
        <v>20</v>
      </c>
      <c r="B8" s="597" t="s">
        <v>1718</v>
      </c>
      <c r="C8" s="598"/>
      <c r="D8" s="599"/>
      <c r="E8" s="600"/>
      <c r="F8" s="601"/>
      <c r="G8" s="602"/>
      <c r="H8" s="603"/>
      <c r="I8" s="603"/>
    </row>
    <row r="9" spans="1:11">
      <c r="A9" s="1303"/>
      <c r="B9" s="1304"/>
      <c r="C9" s="606"/>
      <c r="D9" s="607"/>
      <c r="E9" s="608"/>
      <c r="F9" s="609"/>
      <c r="G9" s="610"/>
      <c r="H9" s="611"/>
      <c r="I9" s="611"/>
    </row>
    <row r="10" spans="1:11" ht="17.25">
      <c r="A10" s="1308" t="s">
        <v>21</v>
      </c>
      <c r="B10" s="1307" t="s">
        <v>1719</v>
      </c>
      <c r="C10" s="614"/>
      <c r="D10" s="615"/>
      <c r="E10" s="616"/>
      <c r="F10" s="617"/>
      <c r="G10" s="618"/>
      <c r="H10" s="619"/>
      <c r="I10" s="619"/>
    </row>
    <row r="11" spans="1:11">
      <c r="A11" s="1305"/>
      <c r="B11" s="1306" t="s">
        <v>107</v>
      </c>
      <c r="C11" s="622"/>
      <c r="D11" s="623"/>
      <c r="E11" s="624"/>
      <c r="F11" s="617"/>
      <c r="G11" s="618"/>
      <c r="H11" s="619"/>
      <c r="I11" s="619"/>
    </row>
    <row r="12" spans="1:11" ht="57">
      <c r="A12" s="620" t="s">
        <v>16</v>
      </c>
      <c r="B12" s="625" t="s">
        <v>1105</v>
      </c>
      <c r="C12" s="626" t="s">
        <v>72</v>
      </c>
      <c r="D12" s="627">
        <v>1</v>
      </c>
      <c r="E12" s="678"/>
      <c r="F12" s="629">
        <f t="shared" ref="F12" si="0">(D12*E12)</f>
        <v>0</v>
      </c>
      <c r="G12" s="616">
        <f>F12</f>
        <v>0</v>
      </c>
      <c r="H12" s="630"/>
      <c r="I12" s="630"/>
      <c r="K12" s="571" t="s">
        <v>107</v>
      </c>
    </row>
    <row r="13" spans="1:11">
      <c r="A13" s="631"/>
      <c r="B13" s="625"/>
      <c r="C13" s="626"/>
      <c r="D13" s="627"/>
      <c r="E13" s="628"/>
      <c r="F13" s="632"/>
      <c r="G13" s="633"/>
      <c r="H13" s="634"/>
      <c r="I13" s="634"/>
    </row>
    <row r="14" spans="1:11" ht="56.25" customHeight="1">
      <c r="A14" s="620" t="s">
        <v>15</v>
      </c>
      <c r="B14" s="625" t="s">
        <v>671</v>
      </c>
      <c r="C14" s="626" t="s">
        <v>72</v>
      </c>
      <c r="D14" s="627">
        <v>1</v>
      </c>
      <c r="E14" s="678"/>
      <c r="F14" s="629">
        <f t="shared" ref="F14" si="1">(D14*E14)</f>
        <v>0</v>
      </c>
      <c r="G14" s="616">
        <f>F14</f>
        <v>0</v>
      </c>
      <c r="H14" s="630"/>
      <c r="I14" s="630"/>
    </row>
    <row r="15" spans="1:11">
      <c r="A15" s="620"/>
      <c r="B15" s="625"/>
      <c r="C15" s="626"/>
      <c r="D15" s="627"/>
      <c r="E15" s="628"/>
      <c r="F15" s="629"/>
      <c r="G15" s="616"/>
      <c r="H15" s="630"/>
      <c r="I15" s="630"/>
    </row>
    <row r="16" spans="1:11" ht="42.75">
      <c r="A16" s="620" t="s">
        <v>1683</v>
      </c>
      <c r="B16" s="625" t="s">
        <v>1684</v>
      </c>
      <c r="C16" s="626" t="s">
        <v>70</v>
      </c>
      <c r="D16" s="627">
        <v>14</v>
      </c>
      <c r="E16" s="678"/>
      <c r="F16" s="629">
        <f>D16*E16</f>
        <v>0</v>
      </c>
      <c r="G16" s="635"/>
      <c r="H16" s="630"/>
      <c r="I16" s="630">
        <f>F16</f>
        <v>0</v>
      </c>
    </row>
    <row r="17" spans="1:44">
      <c r="A17" s="620"/>
      <c r="B17" s="625"/>
      <c r="C17" s="626"/>
      <c r="D17" s="627"/>
      <c r="E17" s="628"/>
      <c r="F17" s="629"/>
      <c r="G17" s="616"/>
      <c r="H17" s="630"/>
      <c r="I17" s="630"/>
    </row>
    <row r="18" spans="1:44">
      <c r="A18" s="620" t="s">
        <v>1685</v>
      </c>
      <c r="B18" s="636" t="s">
        <v>1687</v>
      </c>
      <c r="C18" s="637" t="s">
        <v>70</v>
      </c>
      <c r="D18" s="627">
        <v>3</v>
      </c>
      <c r="E18" s="678"/>
      <c r="F18" s="629">
        <f>D18*E18</f>
        <v>0</v>
      </c>
      <c r="G18" s="635"/>
      <c r="H18" s="630"/>
      <c r="I18" s="630">
        <f>F18</f>
        <v>0</v>
      </c>
    </row>
    <row r="19" spans="1:44">
      <c r="A19" s="620"/>
      <c r="B19" s="638"/>
      <c r="C19" s="637"/>
      <c r="D19" s="627"/>
      <c r="E19" s="628"/>
      <c r="F19" s="629"/>
      <c r="G19" s="616"/>
      <c r="H19" s="630"/>
      <c r="I19" s="630"/>
    </row>
    <row r="20" spans="1:44">
      <c r="A20" s="620" t="s">
        <v>1686</v>
      </c>
      <c r="B20" s="636" t="s">
        <v>1688</v>
      </c>
      <c r="C20" s="637" t="s">
        <v>11</v>
      </c>
      <c r="D20" s="627">
        <v>22.5</v>
      </c>
      <c r="E20" s="678"/>
      <c r="F20" s="629">
        <f>D20*E20</f>
        <v>0</v>
      </c>
      <c r="G20" s="635"/>
      <c r="H20" s="630"/>
      <c r="I20" s="630">
        <f>F20</f>
        <v>0</v>
      </c>
    </row>
    <row r="21" spans="1:44">
      <c r="A21" s="620"/>
      <c r="B21" s="638"/>
      <c r="C21" s="639"/>
      <c r="D21" s="627"/>
      <c r="E21" s="628"/>
      <c r="F21" s="629"/>
      <c r="G21" s="616"/>
      <c r="H21" s="630"/>
      <c r="I21" s="640"/>
    </row>
    <row r="22" spans="1:44" s="642" customFormat="1" ht="43.5" customHeight="1">
      <c r="A22" s="620" t="s">
        <v>77</v>
      </c>
      <c r="B22" s="625" t="s">
        <v>1169</v>
      </c>
      <c r="C22" s="626" t="s">
        <v>70</v>
      </c>
      <c r="D22" s="627">
        <v>1027</v>
      </c>
      <c r="E22" s="678"/>
      <c r="F22" s="629">
        <f t="shared" ref="F22:F34" si="2">(D22*E22)</f>
        <v>0</v>
      </c>
      <c r="G22" s="616">
        <f>F22</f>
        <v>0</v>
      </c>
      <c r="H22" s="630"/>
      <c r="I22" s="630"/>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row>
    <row r="23" spans="1:44" s="642" customFormat="1" ht="14.25">
      <c r="A23" s="631"/>
      <c r="B23" s="625"/>
      <c r="C23" s="626"/>
      <c r="D23" s="627"/>
      <c r="E23" s="628"/>
      <c r="F23" s="632"/>
      <c r="G23" s="633"/>
      <c r="H23" s="634"/>
      <c r="I23" s="634"/>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row>
    <row r="24" spans="1:44" s="642" customFormat="1" ht="42.75">
      <c r="A24" s="620" t="s">
        <v>1117</v>
      </c>
      <c r="B24" s="625" t="s">
        <v>1396</v>
      </c>
      <c r="C24" s="626" t="s">
        <v>217</v>
      </c>
      <c r="D24" s="627">
        <v>53.5</v>
      </c>
      <c r="E24" s="678"/>
      <c r="F24" s="629">
        <f t="shared" si="2"/>
        <v>0</v>
      </c>
      <c r="G24" s="616">
        <f>F24</f>
        <v>0</v>
      </c>
      <c r="H24" s="630"/>
      <c r="I24" s="630"/>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1"/>
      <c r="AP24" s="641"/>
      <c r="AQ24" s="641"/>
      <c r="AR24" s="641"/>
    </row>
    <row r="25" spans="1:44" s="642" customFormat="1" ht="14.25">
      <c r="A25" s="620"/>
      <c r="B25" s="625"/>
      <c r="C25" s="626"/>
      <c r="D25" s="627"/>
      <c r="E25" s="628"/>
      <c r="F25" s="632"/>
      <c r="G25" s="633"/>
      <c r="H25" s="634"/>
      <c r="I25" s="634"/>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row>
    <row r="26" spans="1:44" s="642" customFormat="1" ht="14.25">
      <c r="A26" s="620" t="s">
        <v>1125</v>
      </c>
      <c r="B26" s="625" t="s">
        <v>1397</v>
      </c>
      <c r="C26" s="626" t="s">
        <v>40</v>
      </c>
      <c r="D26" s="627">
        <v>30</v>
      </c>
      <c r="E26" s="678"/>
      <c r="F26" s="629">
        <f>(D26*E26)</f>
        <v>0</v>
      </c>
      <c r="G26" s="616">
        <f>F26</f>
        <v>0</v>
      </c>
      <c r="H26" s="630"/>
      <c r="I26" s="630"/>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1"/>
      <c r="AP26" s="641"/>
      <c r="AQ26" s="641"/>
      <c r="AR26" s="641"/>
    </row>
    <row r="27" spans="1:44" s="642" customFormat="1" ht="14.25">
      <c r="A27" s="631"/>
      <c r="B27" s="625"/>
      <c r="C27" s="626"/>
      <c r="D27" s="627"/>
      <c r="E27" s="628"/>
      <c r="F27" s="629"/>
      <c r="G27" s="616"/>
      <c r="H27" s="630"/>
      <c r="I27" s="630"/>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row>
    <row r="28" spans="1:44" s="647" customFormat="1" ht="44.25" customHeight="1">
      <c r="A28" s="620" t="s">
        <v>1126</v>
      </c>
      <c r="B28" s="643" t="s">
        <v>1401</v>
      </c>
      <c r="C28" s="644" t="s">
        <v>40</v>
      </c>
      <c r="D28" s="645">
        <v>24</v>
      </c>
      <c r="E28" s="679"/>
      <c r="F28" s="629">
        <f t="shared" si="2"/>
        <v>0</v>
      </c>
      <c r="G28" s="616">
        <f>F28</f>
        <v>0</v>
      </c>
      <c r="H28" s="630"/>
      <c r="I28" s="630"/>
    </row>
    <row r="29" spans="1:44" s="647" customFormat="1">
      <c r="A29" s="631"/>
      <c r="B29" s="648"/>
      <c r="C29" s="614"/>
      <c r="D29" s="615"/>
      <c r="E29" s="616"/>
      <c r="F29" s="629"/>
      <c r="G29" s="616"/>
      <c r="H29" s="630"/>
      <c r="I29" s="630"/>
    </row>
    <row r="30" spans="1:44" s="647" customFormat="1" ht="57.75" customHeight="1">
      <c r="A30" s="620" t="s">
        <v>1398</v>
      </c>
      <c r="B30" s="643" t="s">
        <v>1664</v>
      </c>
      <c r="C30" s="644" t="s">
        <v>40</v>
      </c>
      <c r="D30" s="645">
        <v>22</v>
      </c>
      <c r="E30" s="679"/>
      <c r="F30" s="629">
        <f t="shared" ref="F30" si="3">(D30*E30)</f>
        <v>0</v>
      </c>
      <c r="G30" s="616">
        <f>F30</f>
        <v>0</v>
      </c>
      <c r="H30" s="630"/>
      <c r="I30" s="630"/>
    </row>
    <row r="31" spans="1:44" s="647" customFormat="1">
      <c r="A31" s="620"/>
      <c r="B31" s="643"/>
      <c r="C31" s="644"/>
      <c r="D31" s="645"/>
      <c r="E31" s="646"/>
      <c r="F31" s="629"/>
      <c r="G31" s="616"/>
      <c r="H31" s="630"/>
      <c r="I31" s="630"/>
    </row>
    <row r="32" spans="1:44" s="647" customFormat="1" ht="42.75" customHeight="1">
      <c r="A32" s="620" t="s">
        <v>1399</v>
      </c>
      <c r="B32" s="643" t="s">
        <v>1665</v>
      </c>
      <c r="C32" s="644" t="s">
        <v>40</v>
      </c>
      <c r="D32" s="645">
        <v>2</v>
      </c>
      <c r="E32" s="679"/>
      <c r="F32" s="629">
        <f t="shared" ref="F32" si="4">(D32*E32)</f>
        <v>0</v>
      </c>
      <c r="G32" s="616">
        <f>F32</f>
        <v>0</v>
      </c>
      <c r="H32" s="630"/>
      <c r="I32" s="630"/>
    </row>
    <row r="33" spans="1:44" s="642" customFormat="1" ht="14.25">
      <c r="A33" s="631"/>
      <c r="B33" s="625"/>
      <c r="C33" s="626"/>
      <c r="D33" s="627"/>
      <c r="E33" s="628"/>
      <c r="F33" s="632"/>
      <c r="G33" s="633"/>
      <c r="H33" s="634"/>
      <c r="I33" s="634"/>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1"/>
      <c r="AP33" s="641"/>
      <c r="AQ33" s="641"/>
      <c r="AR33" s="641"/>
    </row>
    <row r="34" spans="1:44" s="642" customFormat="1" ht="57" customHeight="1">
      <c r="A34" s="620" t="s">
        <v>1400</v>
      </c>
      <c r="B34" s="625" t="s">
        <v>1164</v>
      </c>
      <c r="C34" s="626" t="s">
        <v>11</v>
      </c>
      <c r="D34" s="627">
        <v>83</v>
      </c>
      <c r="E34" s="678"/>
      <c r="F34" s="629">
        <f t="shared" si="2"/>
        <v>0</v>
      </c>
      <c r="G34" s="616">
        <f>F34</f>
        <v>0</v>
      </c>
      <c r="H34" s="630"/>
      <c r="I34" s="630"/>
      <c r="J34" s="641"/>
      <c r="K34" s="641"/>
      <c r="L34" s="641"/>
      <c r="M34" s="641"/>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1"/>
      <c r="AK34" s="641"/>
      <c r="AL34" s="641"/>
      <c r="AM34" s="641"/>
      <c r="AN34" s="641"/>
      <c r="AO34" s="641"/>
      <c r="AP34" s="641"/>
      <c r="AQ34" s="641"/>
      <c r="AR34" s="641"/>
    </row>
    <row r="35" spans="1:44" s="642" customFormat="1" ht="14.25">
      <c r="A35" s="620"/>
      <c r="B35" s="625"/>
      <c r="C35" s="626"/>
      <c r="D35" s="627"/>
      <c r="E35" s="628"/>
      <c r="F35" s="632"/>
      <c r="G35" s="633"/>
      <c r="H35" s="634"/>
      <c r="I35" s="634"/>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c r="AR35" s="641"/>
    </row>
    <row r="36" spans="1:44" s="642" customFormat="1" ht="57">
      <c r="A36" s="620" t="s">
        <v>1578</v>
      </c>
      <c r="B36" s="625" t="s">
        <v>1579</v>
      </c>
      <c r="C36" s="626" t="s">
        <v>72</v>
      </c>
      <c r="D36" s="627">
        <v>1</v>
      </c>
      <c r="E36" s="678"/>
      <c r="F36" s="629">
        <f t="shared" ref="F36:F40" si="5">(D36*E36)</f>
        <v>0</v>
      </c>
      <c r="G36" s="616">
        <f>F36</f>
        <v>0</v>
      </c>
      <c r="H36" s="630"/>
      <c r="I36" s="630"/>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41"/>
      <c r="AI36" s="641"/>
      <c r="AJ36" s="641"/>
      <c r="AK36" s="641"/>
      <c r="AL36" s="641"/>
      <c r="AM36" s="641"/>
      <c r="AN36" s="641"/>
      <c r="AO36" s="641"/>
      <c r="AP36" s="641"/>
      <c r="AQ36" s="641"/>
      <c r="AR36" s="641"/>
    </row>
    <row r="37" spans="1:44" s="642" customFormat="1" ht="14.25">
      <c r="A37" s="631"/>
      <c r="B37" s="625"/>
      <c r="C37" s="626"/>
      <c r="D37" s="627"/>
      <c r="E37" s="628"/>
      <c r="F37" s="632"/>
      <c r="G37" s="633"/>
      <c r="H37" s="634"/>
      <c r="I37" s="634"/>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c r="AR37" s="641"/>
    </row>
    <row r="38" spans="1:44" s="642" customFormat="1" ht="46.5" customHeight="1">
      <c r="A38" s="620" t="s">
        <v>1580</v>
      </c>
      <c r="B38" s="625" t="s">
        <v>1581</v>
      </c>
      <c r="C38" s="626" t="s">
        <v>10</v>
      </c>
      <c r="D38" s="627">
        <v>3</v>
      </c>
      <c r="E38" s="678"/>
      <c r="F38" s="629">
        <f t="shared" si="5"/>
        <v>0</v>
      </c>
      <c r="G38" s="616">
        <f>F38</f>
        <v>0</v>
      </c>
      <c r="H38" s="630"/>
      <c r="I38" s="630"/>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c r="AL38" s="641"/>
      <c r="AM38" s="641"/>
      <c r="AN38" s="641"/>
      <c r="AO38" s="641"/>
      <c r="AP38" s="641"/>
      <c r="AQ38" s="641"/>
      <c r="AR38" s="641"/>
    </row>
    <row r="39" spans="1:44" s="642" customFormat="1" ht="14.25">
      <c r="A39" s="631"/>
      <c r="B39" s="625"/>
      <c r="C39" s="626"/>
      <c r="D39" s="627"/>
      <c r="E39" s="628"/>
      <c r="F39" s="632"/>
      <c r="G39" s="633"/>
      <c r="H39" s="634"/>
      <c r="I39" s="634"/>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641"/>
      <c r="AH39" s="641"/>
      <c r="AI39" s="641"/>
      <c r="AJ39" s="641"/>
      <c r="AK39" s="641"/>
      <c r="AL39" s="641"/>
      <c r="AM39" s="641"/>
      <c r="AN39" s="641"/>
      <c r="AO39" s="641"/>
      <c r="AP39" s="641"/>
      <c r="AQ39" s="641"/>
      <c r="AR39" s="641"/>
    </row>
    <row r="40" spans="1:44" s="642" customFormat="1" ht="57.75" customHeight="1">
      <c r="A40" s="620" t="s">
        <v>1582</v>
      </c>
      <c r="B40" s="625" t="s">
        <v>1583</v>
      </c>
      <c r="C40" s="626" t="s">
        <v>70</v>
      </c>
      <c r="D40" s="627">
        <v>40</v>
      </c>
      <c r="E40" s="678"/>
      <c r="F40" s="629">
        <f t="shared" si="5"/>
        <v>0</v>
      </c>
      <c r="G40" s="616">
        <f>F40</f>
        <v>0</v>
      </c>
      <c r="H40" s="630"/>
      <c r="I40" s="630"/>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row>
    <row r="41" spans="1:44" ht="15.75" thickBot="1">
      <c r="A41" s="649"/>
      <c r="B41" s="650"/>
      <c r="C41" s="651"/>
      <c r="D41" s="652"/>
      <c r="E41" s="653"/>
      <c r="F41" s="654"/>
      <c r="G41" s="655"/>
      <c r="H41" s="656"/>
      <c r="I41" s="656"/>
    </row>
    <row r="42" spans="1:44" ht="16.5" thickTop="1" thickBot="1">
      <c r="A42" s="657" t="s">
        <v>21</v>
      </c>
      <c r="B42" s="658" t="s">
        <v>1721</v>
      </c>
      <c r="C42" s="659"/>
      <c r="D42" s="660"/>
      <c r="E42" s="661"/>
      <c r="F42" s="662">
        <f>SUM(F12:F41)</f>
        <v>0</v>
      </c>
      <c r="G42" s="662">
        <f>SUM(G12:G41)</f>
        <v>0</v>
      </c>
      <c r="H42" s="662">
        <f>SUM(H12:H41)</f>
        <v>0</v>
      </c>
      <c r="I42" s="662">
        <f>SUM(I12:I41)</f>
        <v>0</v>
      </c>
    </row>
    <row r="43" spans="1:44" ht="15.75" thickTop="1">
      <c r="A43" s="620"/>
      <c r="B43" s="625"/>
      <c r="C43" s="626"/>
      <c r="D43" s="627"/>
      <c r="E43" s="628"/>
      <c r="F43" s="632"/>
      <c r="G43" s="633"/>
      <c r="H43" s="634"/>
      <c r="I43" s="634"/>
    </row>
    <row r="44" spans="1:44" ht="17.25">
      <c r="A44" s="1307" t="s">
        <v>0</v>
      </c>
      <c r="B44" s="1307" t="s">
        <v>342</v>
      </c>
      <c r="C44" s="614"/>
      <c r="D44" s="615"/>
      <c r="E44" s="616"/>
      <c r="F44" s="617"/>
      <c r="G44" s="618"/>
      <c r="H44" s="619"/>
      <c r="I44" s="619"/>
    </row>
    <row r="45" spans="1:44">
      <c r="A45" s="620"/>
      <c r="B45" s="625"/>
      <c r="C45" s="626"/>
      <c r="D45" s="627"/>
      <c r="E45" s="628"/>
      <c r="F45" s="632"/>
      <c r="G45" s="633"/>
      <c r="H45" s="634"/>
      <c r="I45" s="634"/>
    </row>
    <row r="46" spans="1:44">
      <c r="A46" s="663" t="s">
        <v>22</v>
      </c>
      <c r="B46" s="625" t="s">
        <v>672</v>
      </c>
      <c r="C46" s="626" t="s">
        <v>116</v>
      </c>
      <c r="D46" s="627">
        <v>50</v>
      </c>
      <c r="E46" s="678"/>
      <c r="F46" s="629">
        <f t="shared" ref="F46" si="6">(D46*E46)</f>
        <v>0</v>
      </c>
      <c r="G46" s="1278"/>
      <c r="H46" s="616">
        <f>F46</f>
        <v>0</v>
      </c>
      <c r="I46" s="630"/>
    </row>
    <row r="47" spans="1:44">
      <c r="A47" s="664"/>
      <c r="B47" s="625"/>
      <c r="C47" s="626"/>
      <c r="D47" s="627"/>
      <c r="E47" s="628"/>
      <c r="F47" s="632"/>
      <c r="G47" s="1278"/>
      <c r="H47" s="633"/>
      <c r="I47" s="634"/>
    </row>
    <row r="48" spans="1:44">
      <c r="A48" s="663" t="s">
        <v>23</v>
      </c>
      <c r="B48" s="625" t="s">
        <v>673</v>
      </c>
      <c r="C48" s="626" t="s">
        <v>116</v>
      </c>
      <c r="D48" s="627">
        <v>500</v>
      </c>
      <c r="E48" s="678"/>
      <c r="F48" s="629">
        <f t="shared" ref="F48" si="7">(D48*E48)</f>
        <v>0</v>
      </c>
      <c r="G48" s="1278"/>
      <c r="H48" s="616">
        <f>F48</f>
        <v>0</v>
      </c>
      <c r="I48" s="630"/>
    </row>
    <row r="49" spans="1:9">
      <c r="A49" s="664"/>
      <c r="B49" s="625"/>
      <c r="C49" s="626"/>
      <c r="D49" s="627"/>
      <c r="E49" s="628"/>
      <c r="F49" s="632"/>
      <c r="G49" s="1278"/>
      <c r="H49" s="633"/>
      <c r="I49" s="634"/>
    </row>
    <row r="50" spans="1:9" ht="43.5" customHeight="1">
      <c r="A50" s="663" t="s">
        <v>73</v>
      </c>
      <c r="B50" s="625" t="s">
        <v>675</v>
      </c>
      <c r="C50" s="626" t="s">
        <v>116</v>
      </c>
      <c r="D50" s="627">
        <v>150</v>
      </c>
      <c r="E50" s="678"/>
      <c r="F50" s="629">
        <f t="shared" ref="F50" si="8">(D50*E50)</f>
        <v>0</v>
      </c>
      <c r="G50" s="1278"/>
      <c r="H50" s="616">
        <f>F50-I50</f>
        <v>0</v>
      </c>
      <c r="I50" s="630">
        <f>E50*5</f>
        <v>0</v>
      </c>
    </row>
    <row r="51" spans="1:9">
      <c r="A51" s="664"/>
      <c r="B51" s="625"/>
      <c r="C51" s="626"/>
      <c r="D51" s="627"/>
      <c r="E51" s="628"/>
      <c r="F51" s="632"/>
      <c r="G51" s="1278"/>
      <c r="H51" s="633"/>
      <c r="I51" s="634"/>
    </row>
    <row r="52" spans="1:9">
      <c r="A52" s="663" t="s">
        <v>74</v>
      </c>
      <c r="B52" s="625" t="s">
        <v>674</v>
      </c>
      <c r="C52" s="626" t="s">
        <v>116</v>
      </c>
      <c r="D52" s="627">
        <v>50</v>
      </c>
      <c r="E52" s="678"/>
      <c r="F52" s="629">
        <f t="shared" ref="F52:F54" si="9">(D52*E52)</f>
        <v>0</v>
      </c>
      <c r="G52" s="1278"/>
      <c r="H52" s="616">
        <f>F52-I52</f>
        <v>0</v>
      </c>
      <c r="I52" s="630">
        <f>E52*2</f>
        <v>0</v>
      </c>
    </row>
    <row r="53" spans="1:9">
      <c r="A53" s="664"/>
      <c r="B53" s="625"/>
      <c r="C53" s="626"/>
      <c r="D53" s="627"/>
      <c r="E53" s="628"/>
      <c r="F53" s="632"/>
      <c r="G53" s="1278"/>
      <c r="H53" s="633"/>
      <c r="I53" s="634"/>
    </row>
    <row r="54" spans="1:9">
      <c r="A54" s="663" t="s">
        <v>305</v>
      </c>
      <c r="B54" s="625" t="s">
        <v>701</v>
      </c>
      <c r="C54" s="626" t="s">
        <v>116</v>
      </c>
      <c r="D54" s="627">
        <v>50</v>
      </c>
      <c r="E54" s="678"/>
      <c r="F54" s="629">
        <f t="shared" si="9"/>
        <v>0</v>
      </c>
      <c r="G54" s="1278"/>
      <c r="H54" s="616">
        <f>F54</f>
        <v>0</v>
      </c>
      <c r="I54" s="630"/>
    </row>
    <row r="55" spans="1:9">
      <c r="A55" s="664"/>
      <c r="B55" s="625"/>
      <c r="C55" s="626"/>
      <c r="D55" s="627"/>
      <c r="E55" s="628"/>
      <c r="F55" s="629"/>
      <c r="G55" s="1278"/>
      <c r="H55" s="616"/>
      <c r="I55" s="630"/>
    </row>
    <row r="56" spans="1:9">
      <c r="A56" s="663" t="s">
        <v>332</v>
      </c>
      <c r="B56" s="625" t="s">
        <v>340</v>
      </c>
      <c r="C56" s="626" t="s">
        <v>116</v>
      </c>
      <c r="D56" s="627">
        <v>100</v>
      </c>
      <c r="E56" s="678"/>
      <c r="F56" s="629">
        <f>D56*E56</f>
        <v>0</v>
      </c>
      <c r="G56" s="1278"/>
      <c r="H56" s="616">
        <f>F56</f>
        <v>0</v>
      </c>
      <c r="I56" s="630"/>
    </row>
    <row r="57" spans="1:9">
      <c r="A57" s="664"/>
      <c r="B57" s="625"/>
      <c r="C57" s="626"/>
      <c r="D57" s="627"/>
      <c r="E57" s="628"/>
      <c r="F57" s="629"/>
      <c r="G57" s="1278"/>
      <c r="H57" s="616"/>
      <c r="I57" s="630"/>
    </row>
    <row r="58" spans="1:9" ht="57" customHeight="1">
      <c r="A58" s="663" t="s">
        <v>333</v>
      </c>
      <c r="B58" s="643" t="s">
        <v>1589</v>
      </c>
      <c r="C58" s="644" t="s">
        <v>116</v>
      </c>
      <c r="D58" s="645">
        <v>25</v>
      </c>
      <c r="E58" s="679"/>
      <c r="F58" s="629">
        <f>D58*E58</f>
        <v>0</v>
      </c>
      <c r="G58" s="230"/>
      <c r="H58" s="386">
        <f>D58*E58*0.92</f>
        <v>0</v>
      </c>
      <c r="I58" s="386">
        <f>D58*E58*0.08</f>
        <v>0</v>
      </c>
    </row>
    <row r="59" spans="1:9">
      <c r="A59" s="664"/>
      <c r="B59" s="625"/>
      <c r="C59" s="626"/>
      <c r="D59" s="627"/>
      <c r="E59" s="628"/>
      <c r="F59" s="629"/>
      <c r="G59" s="616"/>
      <c r="H59" s="630"/>
      <c r="I59" s="630"/>
    </row>
    <row r="60" spans="1:9" ht="86.25" customHeight="1">
      <c r="A60" s="663" t="s">
        <v>334</v>
      </c>
      <c r="B60" s="643" t="s">
        <v>341</v>
      </c>
      <c r="C60" s="644" t="s">
        <v>10</v>
      </c>
      <c r="D60" s="645">
        <v>1</v>
      </c>
      <c r="E60" s="679"/>
      <c r="F60" s="629">
        <f>D60*E60</f>
        <v>0</v>
      </c>
      <c r="G60" s="616"/>
      <c r="H60" s="630">
        <f>F60</f>
        <v>0</v>
      </c>
      <c r="I60" s="630"/>
    </row>
    <row r="61" spans="1:9">
      <c r="A61" s="664"/>
      <c r="B61" s="625"/>
      <c r="C61" s="626"/>
      <c r="D61" s="627"/>
      <c r="E61" s="628"/>
      <c r="F61" s="629"/>
      <c r="G61" s="616"/>
      <c r="H61" s="630"/>
      <c r="I61" s="630"/>
    </row>
    <row r="62" spans="1:9">
      <c r="A62" s="663" t="s">
        <v>845</v>
      </c>
      <c r="B62" s="625" t="s">
        <v>676</v>
      </c>
      <c r="C62" s="626" t="s">
        <v>116</v>
      </c>
      <c r="D62" s="627">
        <v>50</v>
      </c>
      <c r="E62" s="678"/>
      <c r="F62" s="629">
        <f t="shared" ref="F62:F72" si="10">(D62*E62)</f>
        <v>0</v>
      </c>
      <c r="G62" s="616"/>
      <c r="H62" s="630">
        <f>F62</f>
        <v>0</v>
      </c>
      <c r="I62" s="630"/>
    </row>
    <row r="63" spans="1:9">
      <c r="A63" s="664"/>
      <c r="B63" s="625"/>
      <c r="C63" s="626"/>
      <c r="D63" s="627"/>
      <c r="E63" s="628"/>
      <c r="F63" s="632"/>
      <c r="G63" s="633"/>
      <c r="H63" s="634"/>
      <c r="I63" s="634"/>
    </row>
    <row r="64" spans="1:9">
      <c r="A64" s="663" t="s">
        <v>1116</v>
      </c>
      <c r="B64" s="625" t="s">
        <v>677</v>
      </c>
      <c r="C64" s="626" t="s">
        <v>116</v>
      </c>
      <c r="D64" s="627">
        <v>50</v>
      </c>
      <c r="E64" s="678"/>
      <c r="F64" s="629">
        <f t="shared" si="10"/>
        <v>0</v>
      </c>
      <c r="G64" s="616"/>
      <c r="H64" s="630">
        <f>F64</f>
        <v>0</v>
      </c>
      <c r="I64" s="630"/>
    </row>
    <row r="65" spans="1:11">
      <c r="A65" s="664"/>
      <c r="B65" s="625"/>
      <c r="C65" s="626"/>
      <c r="D65" s="627"/>
      <c r="E65" s="628"/>
      <c r="F65" s="632"/>
      <c r="G65" s="633"/>
      <c r="H65" s="634"/>
      <c r="I65" s="634"/>
    </row>
    <row r="66" spans="1:11">
      <c r="A66" s="663" t="s">
        <v>1345</v>
      </c>
      <c r="B66" s="625" t="s">
        <v>1100</v>
      </c>
      <c r="C66" s="626" t="s">
        <v>72</v>
      </c>
      <c r="D66" s="627">
        <v>1</v>
      </c>
      <c r="E66" s="678"/>
      <c r="F66" s="629">
        <f t="shared" si="10"/>
        <v>0</v>
      </c>
      <c r="G66" s="616">
        <f>F66</f>
        <v>0</v>
      </c>
      <c r="H66" s="630"/>
      <c r="I66" s="630"/>
    </row>
    <row r="67" spans="1:11">
      <c r="A67" s="664"/>
      <c r="B67" s="625"/>
      <c r="C67" s="626"/>
      <c r="D67" s="627"/>
      <c r="E67" s="628"/>
      <c r="F67" s="632"/>
      <c r="G67" s="633"/>
      <c r="H67" s="634"/>
      <c r="I67" s="634"/>
    </row>
    <row r="68" spans="1:11" ht="36" customHeight="1">
      <c r="A68" s="663" t="s">
        <v>1424</v>
      </c>
      <c r="B68" s="625" t="s">
        <v>1166</v>
      </c>
      <c r="C68" s="626" t="s">
        <v>72</v>
      </c>
      <c r="D68" s="627">
        <v>1</v>
      </c>
      <c r="E68" s="678"/>
      <c r="F68" s="629">
        <f t="shared" si="10"/>
        <v>0</v>
      </c>
      <c r="G68" s="616">
        <f>F68</f>
        <v>0</v>
      </c>
      <c r="H68" s="630"/>
      <c r="I68" s="630" t="s">
        <v>107</v>
      </c>
    </row>
    <row r="69" spans="1:11">
      <c r="A69" s="664"/>
      <c r="B69" s="625"/>
      <c r="C69" s="626"/>
      <c r="D69" s="627"/>
      <c r="E69" s="628"/>
      <c r="F69" s="632"/>
      <c r="G69" s="633"/>
      <c r="H69" s="634"/>
      <c r="I69" s="634"/>
    </row>
    <row r="70" spans="1:11" ht="36.75" customHeight="1">
      <c r="A70" s="663" t="s">
        <v>1445</v>
      </c>
      <c r="B70" s="625" t="s">
        <v>583</v>
      </c>
      <c r="C70" s="626" t="s">
        <v>10</v>
      </c>
      <c r="D70" s="627">
        <v>1</v>
      </c>
      <c r="E70" s="678"/>
      <c r="F70" s="629">
        <f t="shared" si="10"/>
        <v>0</v>
      </c>
      <c r="G70" s="616">
        <f>F70</f>
        <v>0</v>
      </c>
      <c r="H70" s="630"/>
      <c r="I70" s="630"/>
    </row>
    <row r="71" spans="1:11" ht="17.25" customHeight="1">
      <c r="A71" s="664"/>
      <c r="B71" s="625"/>
      <c r="C71" s="626"/>
      <c r="D71" s="627"/>
      <c r="E71" s="628"/>
      <c r="F71" s="632"/>
      <c r="G71" s="633"/>
      <c r="H71" s="634"/>
      <c r="I71" s="634"/>
    </row>
    <row r="72" spans="1:11" ht="71.25">
      <c r="A72" s="664" t="s">
        <v>1722</v>
      </c>
      <c r="B72" s="625" t="s">
        <v>1723</v>
      </c>
      <c r="C72" s="626" t="s">
        <v>10</v>
      </c>
      <c r="D72" s="627">
        <v>1</v>
      </c>
      <c r="E72" s="678"/>
      <c r="F72" s="629">
        <f t="shared" si="10"/>
        <v>0</v>
      </c>
      <c r="G72" s="633"/>
      <c r="H72" s="634"/>
      <c r="I72" s="634">
        <f>F72</f>
        <v>0</v>
      </c>
    </row>
    <row r="73" spans="1:11" ht="15.75" thickBot="1">
      <c r="A73" s="649"/>
      <c r="B73" s="650"/>
      <c r="C73" s="651"/>
      <c r="D73" s="652"/>
      <c r="E73" s="653"/>
      <c r="F73" s="654"/>
      <c r="G73" s="655"/>
      <c r="H73" s="656"/>
      <c r="I73" s="656"/>
    </row>
    <row r="74" spans="1:11" ht="16.5" thickTop="1" thickBot="1">
      <c r="A74" s="657" t="s">
        <v>0</v>
      </c>
      <c r="B74" s="658" t="s">
        <v>670</v>
      </c>
      <c r="C74" s="659"/>
      <c r="D74" s="660"/>
      <c r="E74" s="661"/>
      <c r="F74" s="662">
        <f>SUM(F46:F73)</f>
        <v>0</v>
      </c>
      <c r="G74" s="662">
        <f>SUM(G46:G73)</f>
        <v>0</v>
      </c>
      <c r="H74" s="662">
        <f>SUM(H46:H73)</f>
        <v>0</v>
      </c>
      <c r="I74" s="662">
        <f>SUM(I46:I73)</f>
        <v>0</v>
      </c>
      <c r="K74" s="571" t="s">
        <v>107</v>
      </c>
    </row>
    <row r="75" spans="1:11" ht="16.5" thickTop="1" thickBot="1">
      <c r="C75" s="667"/>
      <c r="F75" s="669"/>
      <c r="G75" s="670"/>
      <c r="H75" s="671"/>
      <c r="I75" s="671"/>
    </row>
    <row r="76" spans="1:11" ht="18" thickBot="1">
      <c r="A76" s="596" t="s">
        <v>20</v>
      </c>
      <c r="B76" s="672" t="s">
        <v>1718</v>
      </c>
      <c r="C76" s="673"/>
      <c r="D76" s="599"/>
      <c r="E76" s="600"/>
      <c r="F76" s="674">
        <f>F42+F74</f>
        <v>0</v>
      </c>
      <c r="G76" s="675">
        <f>G74+G42</f>
        <v>0</v>
      </c>
      <c r="H76" s="674">
        <f>H42+H74</f>
        <v>0</v>
      </c>
      <c r="I76" s="674">
        <f>I42+I74</f>
        <v>0</v>
      </c>
    </row>
  </sheetData>
  <sheetProtection algorithmName="SHA-512" hashValue="8ybUiFR42v/QxLjrJ7m7DLNLxfg81iduZxinwYjEu+8T+nowcdcuWuGHSvJlksiwCGCyeyHZMm1b/16CcNK3Bg==" saltValue="4NO2I25xnLv719zsRIeXyQ==" spinCount="100000" sheet="1" objects="1" scenarios="1" selectLockedCells="1"/>
  <customSheetViews>
    <customSheetView guid="{14FA32B8-8DA0-4B39-A6E2-254F8891DDCC}" scale="85" showPageBreaks="1" printArea="1" view="pageBreakPreview" topLeftCell="A49">
      <selection activeCell="H74" sqref="H74"/>
      <rowBreaks count="1" manualBreakCount="1">
        <brk id="35" max="7" man="1"/>
      </rowBreaks>
      <pageMargins left="0.7" right="0.7" top="0.75" bottom="0.75" header="0.3" footer="0.3"/>
      <pageSetup paperSize="9" scale="57"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53" orientation="portrait" r:id="rId2"/>
  <headerFooter>
    <oddHeader>&amp;CUREDITEV RAFUTSKEGA PARKA Z LAŠČAKOVO VILO - Park&amp;RLUZ, d.d.</oddHeader>
    <oddFooter>&amp;C&amp;P</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59999389629810485"/>
  </sheetPr>
  <dimension ref="A1:N175"/>
  <sheetViews>
    <sheetView view="pageBreakPreview" zoomScale="80" zoomScaleNormal="100" zoomScaleSheetLayoutView="80" workbookViewId="0">
      <pane ySplit="6" topLeftCell="A13" activePane="bottomLeft" state="frozen"/>
      <selection pane="bottomLeft" activeCell="E17" sqref="E17"/>
    </sheetView>
  </sheetViews>
  <sheetFormatPr defaultRowHeight="15"/>
  <cols>
    <col min="1" max="1" width="10.42578125" style="665" bestFit="1" customWidth="1"/>
    <col min="2" max="2" width="75.5703125" style="666" customWidth="1"/>
    <col min="3" max="3" width="6.42578125" style="676" bestFit="1" customWidth="1"/>
    <col min="4" max="4" width="9.42578125" style="667" bestFit="1" customWidth="1"/>
    <col min="5" max="5" width="11" style="668" bestFit="1" customWidth="1"/>
    <col min="6" max="6" width="13.7109375" style="677" bestFit="1" customWidth="1"/>
    <col min="7" max="7" width="11.85546875" style="571" customWidth="1"/>
    <col min="8" max="8" width="11" style="571" customWidth="1"/>
    <col min="9" max="9" width="9.140625" style="571"/>
    <col min="10" max="10" width="63.7109375" style="571" customWidth="1"/>
    <col min="11" max="16384" width="9.140625" style="571"/>
  </cols>
  <sheetData>
    <row r="1" spans="1:8">
      <c r="A1" s="1355" t="str">
        <f>[1]Info!B1</f>
        <v>UREDITEV RAFUTSKEGA PARKA Z LAŠČAKOVO VILO - Park</v>
      </c>
      <c r="B1" s="1356"/>
      <c r="C1" s="1356"/>
      <c r="D1" s="1356"/>
      <c r="E1" s="1356"/>
      <c r="F1" s="1357"/>
    </row>
    <row r="2" spans="1:8" ht="15.75" thickBot="1">
      <c r="A2" s="1358"/>
      <c r="B2" s="1359"/>
      <c r="C2" s="1359"/>
      <c r="D2" s="1359"/>
      <c r="E2" s="1359"/>
      <c r="F2" s="1360"/>
    </row>
    <row r="3" spans="1:8" ht="15.75" thickBot="1">
      <c r="A3" s="1361"/>
      <c r="B3" s="1362"/>
      <c r="C3" s="5"/>
      <c r="D3" s="572"/>
      <c r="E3" s="573"/>
      <c r="F3" s="574"/>
    </row>
    <row r="4" spans="1:8" ht="18" thickBot="1">
      <c r="A4" s="1363" t="s">
        <v>683</v>
      </c>
      <c r="B4" s="1364"/>
      <c r="C4" s="1364"/>
      <c r="D4" s="1364"/>
      <c r="E4" s="1364"/>
      <c r="F4" s="1365"/>
    </row>
    <row r="5" spans="1:8">
      <c r="A5" s="577"/>
      <c r="B5" s="578"/>
      <c r="C5" s="579"/>
      <c r="D5" s="579"/>
      <c r="E5" s="580"/>
      <c r="F5" s="580"/>
    </row>
    <row r="6" spans="1:8" ht="71.25">
      <c r="A6" s="582" t="s">
        <v>1</v>
      </c>
      <c r="B6" s="583" t="s">
        <v>2</v>
      </c>
      <c r="C6" s="584" t="s">
        <v>4</v>
      </c>
      <c r="D6" s="585" t="s">
        <v>9</v>
      </c>
      <c r="E6" s="586" t="s">
        <v>5</v>
      </c>
      <c r="F6" s="586" t="s">
        <v>6</v>
      </c>
      <c r="G6" s="588" t="s">
        <v>1609</v>
      </c>
      <c r="H6" s="586" t="s">
        <v>1596</v>
      </c>
    </row>
    <row r="7" spans="1:8" ht="15.75" thickBot="1">
      <c r="A7" s="589"/>
      <c r="B7" s="590"/>
      <c r="C7" s="591"/>
      <c r="D7" s="592"/>
      <c r="E7" s="593"/>
      <c r="F7" s="595"/>
      <c r="G7" s="595"/>
      <c r="H7" s="595"/>
    </row>
    <row r="8" spans="1:8" ht="18" thickBot="1">
      <c r="A8" s="596" t="s">
        <v>41</v>
      </c>
      <c r="B8" s="597" t="s">
        <v>666</v>
      </c>
      <c r="C8" s="598"/>
      <c r="D8" s="599"/>
      <c r="E8" s="600"/>
      <c r="F8" s="603"/>
      <c r="G8" s="680"/>
      <c r="H8" s="601"/>
    </row>
    <row r="9" spans="1:8">
      <c r="A9" s="604"/>
      <c r="B9" s="605"/>
      <c r="C9" s="606"/>
      <c r="D9" s="607"/>
      <c r="E9" s="608"/>
      <c r="F9" s="611"/>
      <c r="G9" s="681"/>
      <c r="H9" s="609"/>
    </row>
    <row r="10" spans="1:8">
      <c r="A10" s="612" t="s">
        <v>42</v>
      </c>
      <c r="B10" s="613" t="s">
        <v>681</v>
      </c>
      <c r="C10" s="614"/>
      <c r="D10" s="615"/>
      <c r="E10" s="616"/>
      <c r="F10" s="619"/>
      <c r="G10" s="682"/>
      <c r="H10" s="617"/>
    </row>
    <row r="11" spans="1:8">
      <c r="A11" s="612"/>
      <c r="B11" s="613"/>
      <c r="C11" s="614"/>
      <c r="D11" s="615"/>
      <c r="E11" s="616"/>
      <c r="F11" s="619"/>
      <c r="G11" s="682"/>
      <c r="H11" s="617"/>
    </row>
    <row r="12" spans="1:8">
      <c r="A12" s="620"/>
      <c r="B12" s="683" t="s">
        <v>1713</v>
      </c>
      <c r="C12" s="684"/>
      <c r="D12" s="685"/>
      <c r="E12" s="624"/>
      <c r="F12" s="619"/>
      <c r="G12" s="686"/>
      <c r="H12" s="629"/>
    </row>
    <row r="13" spans="1:8">
      <c r="A13" s="620" t="s">
        <v>686</v>
      </c>
      <c r="B13" s="643" t="s">
        <v>79</v>
      </c>
      <c r="C13" s="644" t="s">
        <v>40</v>
      </c>
      <c r="D13" s="645">
        <f>30+5.4</f>
        <v>35.4</v>
      </c>
      <c r="E13" s="679"/>
      <c r="F13" s="630">
        <f>(D13*E13)</f>
        <v>0</v>
      </c>
      <c r="G13" s="687">
        <f>(D13-2.7)*E13</f>
        <v>0</v>
      </c>
      <c r="H13" s="632">
        <f>2.7*E13</f>
        <v>0</v>
      </c>
    </row>
    <row r="14" spans="1:8">
      <c r="A14" s="620"/>
      <c r="B14" s="621"/>
      <c r="C14" s="622"/>
      <c r="D14" s="623"/>
      <c r="E14" s="624"/>
      <c r="F14" s="619"/>
      <c r="G14" s="686"/>
      <c r="H14" s="629"/>
    </row>
    <row r="15" spans="1:8" ht="28.5">
      <c r="A15" s="620" t="s">
        <v>687</v>
      </c>
      <c r="B15" s="625" t="s">
        <v>1171</v>
      </c>
      <c r="C15" s="688" t="s">
        <v>40</v>
      </c>
      <c r="D15" s="689">
        <f>17+3.1</f>
        <v>20.100000000000001</v>
      </c>
      <c r="E15" s="723"/>
      <c r="F15" s="630">
        <f>(D15*E15)</f>
        <v>0</v>
      </c>
      <c r="G15" s="687">
        <f>(D15-1.55)*E15</f>
        <v>0</v>
      </c>
      <c r="H15" s="629">
        <f>1.55*E15</f>
        <v>0</v>
      </c>
    </row>
    <row r="16" spans="1:8">
      <c r="A16" s="620"/>
      <c r="B16" s="691"/>
      <c r="C16" s="688"/>
      <c r="D16" s="689"/>
      <c r="E16" s="690"/>
      <c r="F16" s="619"/>
      <c r="G16" s="682"/>
      <c r="H16" s="617"/>
    </row>
    <row r="17" spans="1:10" ht="28.5">
      <c r="A17" s="620" t="s">
        <v>688</v>
      </c>
      <c r="B17" s="625" t="s">
        <v>661</v>
      </c>
      <c r="C17" s="626" t="s">
        <v>40</v>
      </c>
      <c r="D17" s="627">
        <f>30+5.4</f>
        <v>35.4</v>
      </c>
      <c r="E17" s="678"/>
      <c r="F17" s="630">
        <f>(D17*E17)</f>
        <v>0</v>
      </c>
      <c r="G17" s="687">
        <f>(D17-2.7)*E17</f>
        <v>0</v>
      </c>
      <c r="H17" s="617">
        <f>2.7*E17</f>
        <v>0</v>
      </c>
    </row>
    <row r="18" spans="1:10">
      <c r="A18" s="620"/>
      <c r="B18" s="625"/>
      <c r="C18" s="626"/>
      <c r="D18" s="627"/>
      <c r="E18" s="628"/>
      <c r="F18" s="634"/>
      <c r="G18" s="686"/>
      <c r="H18" s="629"/>
    </row>
    <row r="19" spans="1:10">
      <c r="A19" s="620" t="s">
        <v>689</v>
      </c>
      <c r="B19" s="625" t="s">
        <v>78</v>
      </c>
      <c r="C19" s="626" t="s">
        <v>11</v>
      </c>
      <c r="D19" s="627">
        <f>18+100</f>
        <v>118</v>
      </c>
      <c r="E19" s="678"/>
      <c r="F19" s="630">
        <f>(D19*E19)</f>
        <v>0</v>
      </c>
      <c r="G19" s="687">
        <f>(D19-9.25)*E19</f>
        <v>0</v>
      </c>
      <c r="H19" s="632">
        <f>9.25*E19</f>
        <v>0</v>
      </c>
    </row>
    <row r="20" spans="1:10">
      <c r="A20" s="620"/>
      <c r="B20" s="625"/>
      <c r="C20" s="626"/>
      <c r="D20" s="627"/>
      <c r="E20" s="628"/>
      <c r="F20" s="630"/>
      <c r="G20" s="686"/>
      <c r="H20" s="629"/>
    </row>
    <row r="21" spans="1:10">
      <c r="A21" s="631"/>
      <c r="B21" s="613" t="s">
        <v>1129</v>
      </c>
      <c r="C21" s="626"/>
      <c r="D21" s="627"/>
      <c r="E21" s="628"/>
      <c r="F21" s="630"/>
      <c r="G21" s="687"/>
      <c r="H21" s="632"/>
    </row>
    <row r="22" spans="1:10" ht="42.75">
      <c r="A22" s="664" t="s">
        <v>690</v>
      </c>
      <c r="B22" s="625" t="s">
        <v>471</v>
      </c>
      <c r="C22" s="626" t="s">
        <v>627</v>
      </c>
      <c r="D22" s="627">
        <v>134</v>
      </c>
      <c r="E22" s="678"/>
      <c r="F22" s="630">
        <f>D22*E22</f>
        <v>0</v>
      </c>
      <c r="G22" s="686">
        <f>F22</f>
        <v>0</v>
      </c>
      <c r="H22" s="629"/>
      <c r="J22" s="692"/>
    </row>
    <row r="23" spans="1:10">
      <c r="A23" s="664"/>
      <c r="B23" s="625"/>
      <c r="C23" s="626"/>
      <c r="D23" s="627"/>
      <c r="E23" s="628"/>
      <c r="F23" s="630"/>
      <c r="G23" s="687"/>
      <c r="H23" s="632"/>
    </row>
    <row r="24" spans="1:10" ht="15.75">
      <c r="A24" s="664" t="s">
        <v>691</v>
      </c>
      <c r="B24" s="625" t="s">
        <v>470</v>
      </c>
      <c r="C24" s="626" t="s">
        <v>626</v>
      </c>
      <c r="D24" s="627">
        <v>1347</v>
      </c>
      <c r="E24" s="678"/>
      <c r="F24" s="630">
        <f>D24*E24</f>
        <v>0</v>
      </c>
      <c r="G24" s="686">
        <f>F24</f>
        <v>0</v>
      </c>
      <c r="H24" s="629"/>
    </row>
    <row r="25" spans="1:10">
      <c r="A25" s="664"/>
      <c r="B25" s="625"/>
      <c r="C25" s="626"/>
      <c r="D25" s="627"/>
      <c r="E25" s="628"/>
      <c r="F25" s="630"/>
      <c r="G25" s="687"/>
      <c r="H25" s="632"/>
    </row>
    <row r="26" spans="1:10" ht="15.75">
      <c r="A26" s="664" t="s">
        <v>692</v>
      </c>
      <c r="B26" s="625" t="s">
        <v>469</v>
      </c>
      <c r="C26" s="626" t="s">
        <v>626</v>
      </c>
      <c r="D26" s="627">
        <v>480</v>
      </c>
      <c r="E26" s="678"/>
      <c r="F26" s="630">
        <f>D26*E26</f>
        <v>0</v>
      </c>
      <c r="G26" s="686">
        <f>F26</f>
        <v>0</v>
      </c>
      <c r="H26" s="629"/>
    </row>
    <row r="27" spans="1:10">
      <c r="A27" s="664"/>
      <c r="B27" s="625"/>
      <c r="C27" s="626"/>
      <c r="D27" s="627"/>
      <c r="E27" s="628"/>
      <c r="F27" s="630"/>
      <c r="G27" s="686"/>
      <c r="H27" s="629"/>
    </row>
    <row r="28" spans="1:10" ht="40.5" customHeight="1">
      <c r="A28" s="664"/>
      <c r="B28" s="625" t="s">
        <v>468</v>
      </c>
      <c r="C28" s="626"/>
      <c r="D28" s="627"/>
      <c r="E28" s="628"/>
      <c r="F28" s="630"/>
      <c r="G28" s="686"/>
      <c r="H28" s="629"/>
    </row>
    <row r="29" spans="1:10" ht="28.5">
      <c r="A29" s="664" t="s">
        <v>693</v>
      </c>
      <c r="B29" s="625" t="s">
        <v>338</v>
      </c>
      <c r="C29" s="626" t="s">
        <v>626</v>
      </c>
      <c r="D29" s="627">
        <v>1347</v>
      </c>
      <c r="E29" s="678"/>
      <c r="F29" s="630">
        <f>D29*E29</f>
        <v>0</v>
      </c>
      <c r="G29" s="686">
        <f>F29</f>
        <v>0</v>
      </c>
      <c r="H29" s="629"/>
    </row>
    <row r="30" spans="1:10">
      <c r="A30" s="664"/>
      <c r="B30" s="625"/>
      <c r="C30" s="626"/>
      <c r="D30" s="627"/>
      <c r="E30" s="628"/>
      <c r="F30" s="630"/>
      <c r="G30" s="686"/>
      <c r="H30" s="629"/>
    </row>
    <row r="31" spans="1:10" ht="56.25" customHeight="1">
      <c r="A31" s="664" t="s">
        <v>694</v>
      </c>
      <c r="B31" s="625" t="s">
        <v>339</v>
      </c>
      <c r="C31" s="626" t="s">
        <v>627</v>
      </c>
      <c r="D31" s="627">
        <f>404-42</f>
        <v>362</v>
      </c>
      <c r="E31" s="678"/>
      <c r="F31" s="630">
        <f>D31*E31</f>
        <v>0</v>
      </c>
      <c r="G31" s="686">
        <f>F31</f>
        <v>0</v>
      </c>
      <c r="H31" s="629"/>
      <c r="I31" s="647"/>
      <c r="J31" s="647"/>
    </row>
    <row r="32" spans="1:10">
      <c r="A32" s="664"/>
      <c r="B32" s="625"/>
      <c r="C32" s="626"/>
      <c r="D32" s="627"/>
      <c r="E32" s="628"/>
      <c r="F32" s="630"/>
      <c r="G32" s="686"/>
      <c r="H32" s="629"/>
      <c r="I32" s="647"/>
      <c r="J32" s="647"/>
    </row>
    <row r="33" spans="1:10" ht="56.25" customHeight="1">
      <c r="A33" s="664" t="s">
        <v>695</v>
      </c>
      <c r="B33" s="625" t="s">
        <v>1151</v>
      </c>
      <c r="C33" s="626" t="s">
        <v>627</v>
      </c>
      <c r="D33" s="627">
        <v>135</v>
      </c>
      <c r="E33" s="678"/>
      <c r="F33" s="630">
        <f>D33*E33</f>
        <v>0</v>
      </c>
      <c r="G33" s="686">
        <f>F33</f>
        <v>0</v>
      </c>
      <c r="H33" s="632"/>
      <c r="I33" s="647"/>
      <c r="J33" s="693"/>
    </row>
    <row r="34" spans="1:10">
      <c r="A34" s="664"/>
      <c r="B34" s="625"/>
      <c r="C34" s="626"/>
      <c r="D34" s="627"/>
      <c r="E34" s="628"/>
      <c r="F34" s="630"/>
      <c r="G34" s="686"/>
      <c r="H34" s="629"/>
      <c r="I34" s="647"/>
      <c r="J34" s="647"/>
    </row>
    <row r="35" spans="1:10" ht="42.75" customHeight="1">
      <c r="A35" s="664" t="s">
        <v>696</v>
      </c>
      <c r="B35" s="625" t="s">
        <v>1152</v>
      </c>
      <c r="C35" s="626" t="s">
        <v>627</v>
      </c>
      <c r="D35" s="627">
        <v>27</v>
      </c>
      <c r="E35" s="678"/>
      <c r="F35" s="630">
        <f>D35*E35</f>
        <v>0</v>
      </c>
      <c r="G35" s="686">
        <f>F35</f>
        <v>0</v>
      </c>
      <c r="H35" s="632"/>
      <c r="I35" s="647"/>
      <c r="J35" s="647"/>
    </row>
    <row r="36" spans="1:10">
      <c r="A36" s="664"/>
      <c r="B36" s="625"/>
      <c r="C36" s="626"/>
      <c r="D36" s="627"/>
      <c r="E36" s="628"/>
      <c r="F36" s="630"/>
      <c r="G36" s="686"/>
      <c r="H36" s="629"/>
    </row>
    <row r="37" spans="1:10" ht="57" customHeight="1">
      <c r="A37" s="664" t="s">
        <v>697</v>
      </c>
      <c r="B37" s="625" t="s">
        <v>1170</v>
      </c>
      <c r="C37" s="626" t="s">
        <v>625</v>
      </c>
      <c r="D37" s="627">
        <v>960</v>
      </c>
      <c r="E37" s="678"/>
      <c r="F37" s="630">
        <f>D37*E37</f>
        <v>0</v>
      </c>
      <c r="G37" s="686">
        <f>F37</f>
        <v>0</v>
      </c>
      <c r="H37" s="632"/>
    </row>
    <row r="38" spans="1:10">
      <c r="A38" s="664"/>
      <c r="B38" s="625"/>
      <c r="C38" s="626"/>
      <c r="D38" s="627"/>
      <c r="E38" s="628"/>
      <c r="F38" s="630"/>
      <c r="G38" s="686"/>
      <c r="H38" s="629"/>
    </row>
    <row r="39" spans="1:10" ht="57" customHeight="1">
      <c r="A39" s="664" t="s">
        <v>698</v>
      </c>
      <c r="B39" s="625" t="s">
        <v>1572</v>
      </c>
      <c r="C39" s="626" t="s">
        <v>10</v>
      </c>
      <c r="D39" s="627">
        <v>4</v>
      </c>
      <c r="E39" s="678"/>
      <c r="F39" s="630">
        <f t="shared" ref="F39" si="0">D39*E39</f>
        <v>0</v>
      </c>
      <c r="G39" s="686">
        <f>F39</f>
        <v>0</v>
      </c>
      <c r="H39" s="632"/>
    </row>
    <row r="40" spans="1:10">
      <c r="A40" s="664"/>
      <c r="B40" s="625"/>
      <c r="C40" s="626"/>
      <c r="D40" s="627"/>
      <c r="E40" s="628"/>
      <c r="F40" s="630"/>
      <c r="G40" s="686"/>
      <c r="H40" s="629"/>
    </row>
    <row r="41" spans="1:10" ht="84.75" customHeight="1">
      <c r="A41" s="664" t="s">
        <v>1368</v>
      </c>
      <c r="B41" s="625" t="s">
        <v>628</v>
      </c>
      <c r="C41" s="626" t="s">
        <v>625</v>
      </c>
      <c r="D41" s="627">
        <v>61</v>
      </c>
      <c r="E41" s="678"/>
      <c r="F41" s="630">
        <f>D41*E41</f>
        <v>0</v>
      </c>
      <c r="G41" s="694">
        <f>F41</f>
        <v>0</v>
      </c>
      <c r="H41" s="695"/>
    </row>
    <row r="42" spans="1:10" ht="15.75" thickBot="1">
      <c r="A42" s="696"/>
      <c r="B42" s="650"/>
      <c r="C42" s="651"/>
      <c r="D42" s="652"/>
      <c r="E42" s="653"/>
      <c r="F42" s="656"/>
      <c r="G42" s="697"/>
      <c r="H42" s="654"/>
    </row>
    <row r="43" spans="1:10" ht="16.5" thickTop="1" thickBot="1">
      <c r="A43" s="657" t="s">
        <v>42</v>
      </c>
      <c r="B43" s="658" t="s">
        <v>685</v>
      </c>
      <c r="C43" s="659"/>
      <c r="D43" s="660"/>
      <c r="E43" s="661"/>
      <c r="F43" s="698">
        <f>SUM(F12:F41)</f>
        <v>0</v>
      </c>
      <c r="G43" s="699">
        <f>SUM(G10:G42)</f>
        <v>0</v>
      </c>
      <c r="H43" s="699">
        <f>SUM(H10:H42)</f>
        <v>0</v>
      </c>
    </row>
    <row r="44" spans="1:10" ht="15.75" thickTop="1">
      <c r="A44" s="620"/>
      <c r="B44" s="625"/>
      <c r="C44" s="626"/>
      <c r="D44" s="627"/>
      <c r="E44" s="628"/>
      <c r="F44" s="634"/>
      <c r="G44" s="682"/>
      <c r="H44" s="617"/>
    </row>
    <row r="45" spans="1:10">
      <c r="A45" s="612" t="s">
        <v>43</v>
      </c>
      <c r="B45" s="613" t="s">
        <v>680</v>
      </c>
      <c r="C45" s="614"/>
      <c r="D45" s="615"/>
      <c r="E45" s="616"/>
      <c r="F45" s="619"/>
      <c r="G45" s="687"/>
      <c r="H45" s="632"/>
    </row>
    <row r="46" spans="1:10">
      <c r="A46" s="612"/>
      <c r="B46" s="700"/>
      <c r="C46" s="701"/>
      <c r="D46" s="702"/>
      <c r="E46" s="633"/>
      <c r="F46" s="703"/>
      <c r="G46" s="686"/>
      <c r="H46" s="629"/>
    </row>
    <row r="47" spans="1:10">
      <c r="A47" s="620"/>
      <c r="B47" s="613" t="s">
        <v>700</v>
      </c>
      <c r="C47" s="684"/>
      <c r="D47" s="685"/>
      <c r="E47" s="624"/>
      <c r="F47" s="619"/>
      <c r="G47" s="687"/>
      <c r="H47" s="632"/>
    </row>
    <row r="48" spans="1:10" ht="15.75">
      <c r="A48" s="620" t="s">
        <v>702</v>
      </c>
      <c r="B48" s="625" t="s">
        <v>478</v>
      </c>
      <c r="C48" s="644" t="s">
        <v>625</v>
      </c>
      <c r="D48" s="645">
        <v>420</v>
      </c>
      <c r="E48" s="678"/>
      <c r="F48" s="619">
        <f t="shared" ref="F48:F66" si="1">D48*E48</f>
        <v>0</v>
      </c>
      <c r="G48" s="686">
        <f>F48</f>
        <v>0</v>
      </c>
      <c r="H48" s="629"/>
    </row>
    <row r="49" spans="1:8">
      <c r="A49" s="620"/>
      <c r="B49" s="625"/>
      <c r="C49" s="644"/>
      <c r="D49" s="645"/>
      <c r="E49" s="628"/>
      <c r="F49" s="619"/>
      <c r="G49" s="687"/>
      <c r="H49" s="632"/>
    </row>
    <row r="50" spans="1:8">
      <c r="A50" s="620" t="s">
        <v>703</v>
      </c>
      <c r="B50" s="625" t="s">
        <v>477</v>
      </c>
      <c r="C50" s="644" t="s">
        <v>10</v>
      </c>
      <c r="D50" s="645">
        <v>42</v>
      </c>
      <c r="E50" s="678"/>
      <c r="F50" s="619">
        <f t="shared" si="1"/>
        <v>0</v>
      </c>
      <c r="G50" s="686">
        <f>F50</f>
        <v>0</v>
      </c>
      <c r="H50" s="629"/>
    </row>
    <row r="51" spans="1:8">
      <c r="A51" s="620"/>
      <c r="B51" s="625"/>
      <c r="C51" s="644"/>
      <c r="D51" s="645"/>
      <c r="E51" s="628"/>
      <c r="F51" s="619"/>
      <c r="G51" s="687"/>
      <c r="H51" s="632"/>
    </row>
    <row r="52" spans="1:8" ht="42.75">
      <c r="A52" s="620" t="s">
        <v>704</v>
      </c>
      <c r="B52" s="625" t="s">
        <v>1692</v>
      </c>
      <c r="C52" s="644" t="s">
        <v>1645</v>
      </c>
      <c r="D52" s="645">
        <v>6.75</v>
      </c>
      <c r="E52" s="678"/>
      <c r="F52" s="619">
        <f t="shared" ref="F52" si="2">D52*E52</f>
        <v>0</v>
      </c>
      <c r="G52" s="687"/>
      <c r="H52" s="629">
        <f>F52</f>
        <v>0</v>
      </c>
    </row>
    <row r="53" spans="1:8">
      <c r="A53" s="620"/>
      <c r="B53" s="625"/>
      <c r="C53" s="644"/>
      <c r="D53" s="645"/>
      <c r="E53" s="628"/>
      <c r="F53" s="619"/>
      <c r="G53" s="687"/>
      <c r="H53" s="632"/>
    </row>
    <row r="54" spans="1:8" ht="30.75" customHeight="1">
      <c r="A54" s="620" t="s">
        <v>705</v>
      </c>
      <c r="B54" s="625" t="s">
        <v>1689</v>
      </c>
      <c r="C54" s="644" t="s">
        <v>1647</v>
      </c>
      <c r="D54" s="645">
        <v>14</v>
      </c>
      <c r="E54" s="678"/>
      <c r="F54" s="619">
        <f t="shared" ref="F54:F56" si="3">D54*E54</f>
        <v>0</v>
      </c>
      <c r="G54" s="687"/>
      <c r="H54" s="629">
        <f>F54</f>
        <v>0</v>
      </c>
    </row>
    <row r="55" spans="1:8">
      <c r="A55" s="620"/>
      <c r="B55" s="625"/>
      <c r="C55" s="644"/>
      <c r="D55" s="645"/>
      <c r="E55" s="628"/>
      <c r="F55" s="619"/>
      <c r="G55" s="687"/>
      <c r="H55" s="629"/>
    </row>
    <row r="56" spans="1:8" ht="62.25" customHeight="1">
      <c r="A56" s="620" t="s">
        <v>1172</v>
      </c>
      <c r="B56" s="625" t="s">
        <v>1690</v>
      </c>
      <c r="C56" s="644" t="s">
        <v>1645</v>
      </c>
      <c r="D56" s="645">
        <v>9</v>
      </c>
      <c r="E56" s="678"/>
      <c r="F56" s="619">
        <f t="shared" si="3"/>
        <v>0</v>
      </c>
      <c r="G56" s="687"/>
      <c r="H56" s="629">
        <f>F56</f>
        <v>0</v>
      </c>
    </row>
    <row r="57" spans="1:8">
      <c r="A57" s="620"/>
      <c r="B57" s="625"/>
      <c r="C57" s="644"/>
      <c r="D57" s="645"/>
      <c r="E57" s="628"/>
      <c r="F57" s="619"/>
      <c r="G57" s="687"/>
      <c r="H57" s="629"/>
    </row>
    <row r="58" spans="1:8" ht="28.5">
      <c r="A58" s="620" t="s">
        <v>1173</v>
      </c>
      <c r="B58" s="625" t="s">
        <v>1691</v>
      </c>
      <c r="C58" s="644" t="s">
        <v>1646</v>
      </c>
      <c r="D58" s="645">
        <v>22.5</v>
      </c>
      <c r="E58" s="678"/>
      <c r="F58" s="619">
        <f t="shared" ref="F58" si="4">D58*E58</f>
        <v>0</v>
      </c>
      <c r="G58" s="687"/>
      <c r="H58" s="629">
        <f>F58</f>
        <v>0</v>
      </c>
    </row>
    <row r="59" spans="1:8">
      <c r="A59" s="620"/>
      <c r="B59" s="704"/>
      <c r="C59" s="644"/>
      <c r="D59" s="645"/>
      <c r="E59" s="628"/>
      <c r="F59" s="619"/>
      <c r="G59" s="687"/>
      <c r="H59" s="632"/>
    </row>
    <row r="60" spans="1:8" ht="57" customHeight="1">
      <c r="A60" s="663" t="s">
        <v>1174</v>
      </c>
      <c r="B60" s="625" t="s">
        <v>475</v>
      </c>
      <c r="C60" s="644" t="s">
        <v>10</v>
      </c>
      <c r="D60" s="645">
        <v>25</v>
      </c>
      <c r="E60" s="678"/>
      <c r="F60" s="619">
        <f t="shared" si="1"/>
        <v>0</v>
      </c>
      <c r="G60" s="686">
        <f>F60</f>
        <v>0</v>
      </c>
      <c r="H60" s="629"/>
    </row>
    <row r="61" spans="1:8">
      <c r="A61" s="620"/>
      <c r="B61" s="625"/>
      <c r="C61" s="644"/>
      <c r="D61" s="645"/>
      <c r="E61" s="628"/>
      <c r="F61" s="619"/>
      <c r="G61" s="687"/>
      <c r="H61" s="632"/>
    </row>
    <row r="62" spans="1:8" ht="56.25" customHeight="1">
      <c r="A62" s="620" t="s">
        <v>1104</v>
      </c>
      <c r="B62" s="625" t="s">
        <v>474</v>
      </c>
      <c r="C62" s="644" t="s">
        <v>626</v>
      </c>
      <c r="D62" s="645">
        <v>23</v>
      </c>
      <c r="E62" s="678"/>
      <c r="F62" s="619">
        <f t="shared" si="1"/>
        <v>0</v>
      </c>
      <c r="G62" s="686">
        <f>F62</f>
        <v>0</v>
      </c>
      <c r="H62" s="629"/>
    </row>
    <row r="63" spans="1:8">
      <c r="A63" s="620"/>
      <c r="B63" s="625"/>
      <c r="C63" s="644"/>
      <c r="D63" s="645"/>
      <c r="E63" s="628"/>
      <c r="F63" s="619"/>
      <c r="G63" s="686"/>
      <c r="H63" s="629"/>
    </row>
    <row r="64" spans="1:8" ht="57">
      <c r="A64" s="620" t="s">
        <v>706</v>
      </c>
      <c r="B64" s="625" t="s">
        <v>473</v>
      </c>
      <c r="C64" s="644" t="s">
        <v>625</v>
      </c>
      <c r="D64" s="645">
        <v>85</v>
      </c>
      <c r="E64" s="678"/>
      <c r="F64" s="619">
        <f t="shared" si="1"/>
        <v>0</v>
      </c>
      <c r="G64" s="686">
        <f>F64</f>
        <v>0</v>
      </c>
      <c r="H64" s="629"/>
    </row>
    <row r="65" spans="1:11">
      <c r="A65" s="620"/>
      <c r="B65" s="625"/>
      <c r="C65" s="644"/>
      <c r="D65" s="645"/>
      <c r="E65" s="628"/>
      <c r="F65" s="619"/>
      <c r="G65" s="686"/>
      <c r="H65" s="629"/>
    </row>
    <row r="66" spans="1:11" ht="72.75" customHeight="1">
      <c r="A66" s="620" t="s">
        <v>707</v>
      </c>
      <c r="B66" s="625" t="s">
        <v>1087</v>
      </c>
      <c r="C66" s="644" t="s">
        <v>627</v>
      </c>
      <c r="D66" s="645">
        <f>462-66</f>
        <v>396</v>
      </c>
      <c r="E66" s="678"/>
      <c r="F66" s="619">
        <f t="shared" si="1"/>
        <v>0</v>
      </c>
      <c r="G66" s="686">
        <f>F66</f>
        <v>0</v>
      </c>
      <c r="H66" s="629"/>
    </row>
    <row r="67" spans="1:11">
      <c r="A67" s="620"/>
      <c r="B67" s="625"/>
      <c r="C67" s="644"/>
      <c r="D67" s="645"/>
      <c r="E67" s="628"/>
      <c r="F67" s="619"/>
      <c r="G67" s="686"/>
      <c r="H67" s="629"/>
    </row>
    <row r="68" spans="1:11" ht="28.5">
      <c r="A68" s="620" t="s">
        <v>708</v>
      </c>
      <c r="B68" s="625" t="s">
        <v>472</v>
      </c>
      <c r="C68" s="644" t="s">
        <v>627</v>
      </c>
      <c r="D68" s="645">
        <v>28</v>
      </c>
      <c r="E68" s="678"/>
      <c r="F68" s="619">
        <f>D68*E68</f>
        <v>0</v>
      </c>
      <c r="G68" s="686">
        <f>F68</f>
        <v>0</v>
      </c>
      <c r="H68" s="629"/>
      <c r="J68" s="647"/>
      <c r="K68" s="647"/>
    </row>
    <row r="69" spans="1:11">
      <c r="A69" s="620"/>
      <c r="B69" s="625"/>
      <c r="C69" s="644"/>
      <c r="D69" s="645"/>
      <c r="E69" s="628"/>
      <c r="F69" s="619"/>
      <c r="G69" s="686"/>
      <c r="H69" s="629"/>
    </row>
    <row r="70" spans="1:11" ht="42.75">
      <c r="A70" s="620" t="s">
        <v>709</v>
      </c>
      <c r="B70" s="625" t="s">
        <v>471</v>
      </c>
      <c r="C70" s="644" t="s">
        <v>627</v>
      </c>
      <c r="D70" s="645">
        <v>231</v>
      </c>
      <c r="E70" s="678"/>
      <c r="F70" s="619">
        <f>D70*E70</f>
        <v>0</v>
      </c>
      <c r="G70" s="686">
        <f>F70</f>
        <v>0</v>
      </c>
      <c r="H70" s="629"/>
    </row>
    <row r="71" spans="1:11">
      <c r="A71" s="620"/>
      <c r="B71" s="625"/>
      <c r="C71" s="644"/>
      <c r="D71" s="645"/>
      <c r="E71" s="628"/>
      <c r="F71" s="619"/>
      <c r="G71" s="687"/>
      <c r="H71" s="632"/>
    </row>
    <row r="72" spans="1:11" ht="15.75">
      <c r="A72" s="620" t="s">
        <v>710</v>
      </c>
      <c r="B72" s="625" t="s">
        <v>470</v>
      </c>
      <c r="C72" s="644" t="s">
        <v>626</v>
      </c>
      <c r="D72" s="645">
        <v>1540</v>
      </c>
      <c r="E72" s="678"/>
      <c r="F72" s="619">
        <f>D72*E72</f>
        <v>0</v>
      </c>
      <c r="G72" s="686">
        <f>F72</f>
        <v>0</v>
      </c>
      <c r="H72" s="629"/>
    </row>
    <row r="73" spans="1:11">
      <c r="A73" s="620"/>
      <c r="B73" s="625"/>
      <c r="C73" s="644"/>
      <c r="D73" s="645"/>
      <c r="E73" s="628"/>
      <c r="F73" s="619"/>
      <c r="G73" s="687"/>
      <c r="H73" s="632"/>
    </row>
    <row r="74" spans="1:11" ht="15.75">
      <c r="A74" s="620" t="s">
        <v>711</v>
      </c>
      <c r="B74" s="625" t="s">
        <v>469</v>
      </c>
      <c r="C74" s="644" t="s">
        <v>626</v>
      </c>
      <c r="D74" s="645">
        <v>408</v>
      </c>
      <c r="E74" s="678"/>
      <c r="F74" s="619">
        <f>D74*E74</f>
        <v>0</v>
      </c>
      <c r="G74" s="686">
        <f>F74</f>
        <v>0</v>
      </c>
      <c r="H74" s="629"/>
    </row>
    <row r="75" spans="1:11">
      <c r="A75" s="620"/>
      <c r="B75" s="625"/>
      <c r="C75" s="644"/>
      <c r="D75" s="645"/>
      <c r="E75" s="628"/>
      <c r="F75" s="619"/>
      <c r="G75" s="687"/>
      <c r="H75" s="632"/>
    </row>
    <row r="76" spans="1:11" ht="44.25" customHeight="1">
      <c r="A76" s="620"/>
      <c r="B76" s="625" t="s">
        <v>468</v>
      </c>
      <c r="C76" s="644"/>
      <c r="D76" s="645"/>
      <c r="E76" s="628"/>
      <c r="F76" s="619"/>
      <c r="G76" s="686"/>
      <c r="H76" s="629" t="s">
        <v>107</v>
      </c>
    </row>
    <row r="77" spans="1:11" ht="28.5">
      <c r="A77" s="620" t="s">
        <v>712</v>
      </c>
      <c r="B77" s="625" t="s">
        <v>338</v>
      </c>
      <c r="C77" s="644" t="s">
        <v>626</v>
      </c>
      <c r="D77" s="645">
        <v>1540</v>
      </c>
      <c r="E77" s="678"/>
      <c r="F77" s="619">
        <f t="shared" ref="F77:F91" si="5">D77*E77</f>
        <v>0</v>
      </c>
      <c r="G77" s="686">
        <f>F77</f>
        <v>0</v>
      </c>
      <c r="H77" s="629"/>
    </row>
    <row r="78" spans="1:11">
      <c r="A78" s="620"/>
      <c r="B78" s="625"/>
      <c r="C78" s="644"/>
      <c r="D78" s="645"/>
      <c r="E78" s="628"/>
      <c r="F78" s="619"/>
      <c r="G78" s="686"/>
      <c r="H78" s="629"/>
    </row>
    <row r="79" spans="1:11" ht="54.75" customHeight="1">
      <c r="A79" s="620" t="s">
        <v>713</v>
      </c>
      <c r="B79" s="625" t="s">
        <v>339</v>
      </c>
      <c r="C79" s="644" t="s">
        <v>627</v>
      </c>
      <c r="D79" s="645">
        <f>462-66</f>
        <v>396</v>
      </c>
      <c r="E79" s="678"/>
      <c r="F79" s="619">
        <f t="shared" si="5"/>
        <v>0</v>
      </c>
      <c r="G79" s="686">
        <f>F79</f>
        <v>0</v>
      </c>
      <c r="H79" s="629"/>
      <c r="I79" s="647"/>
      <c r="J79" s="647"/>
    </row>
    <row r="80" spans="1:11">
      <c r="A80" s="620"/>
      <c r="B80" s="625"/>
      <c r="C80" s="644"/>
      <c r="D80" s="645"/>
      <c r="E80" s="628"/>
      <c r="F80" s="619"/>
      <c r="G80" s="694"/>
      <c r="H80" s="695"/>
      <c r="I80" s="647"/>
      <c r="J80" s="647"/>
    </row>
    <row r="81" spans="1:10" ht="56.25" customHeight="1">
      <c r="A81" s="620" t="s">
        <v>714</v>
      </c>
      <c r="B81" s="625" t="s">
        <v>1151</v>
      </c>
      <c r="C81" s="644" t="s">
        <v>627</v>
      </c>
      <c r="D81" s="645">
        <v>154</v>
      </c>
      <c r="E81" s="678"/>
      <c r="F81" s="619">
        <f t="shared" si="5"/>
        <v>0</v>
      </c>
      <c r="G81" s="694">
        <f>F81</f>
        <v>0</v>
      </c>
      <c r="H81" s="705"/>
      <c r="I81" s="647"/>
      <c r="J81" s="647"/>
    </row>
    <row r="82" spans="1:10">
      <c r="A82" s="620"/>
      <c r="B82" s="625"/>
      <c r="C82" s="644"/>
      <c r="D82" s="645"/>
      <c r="E82" s="628"/>
      <c r="F82" s="619"/>
      <c r="G82" s="694"/>
      <c r="H82" s="705"/>
      <c r="I82" s="647"/>
      <c r="J82" s="647"/>
    </row>
    <row r="83" spans="1:10" ht="28.5">
      <c r="A83" s="620" t="s">
        <v>1175</v>
      </c>
      <c r="B83" s="625" t="s">
        <v>1152</v>
      </c>
      <c r="C83" s="644" t="s">
        <v>627</v>
      </c>
      <c r="D83" s="645">
        <v>31</v>
      </c>
      <c r="E83" s="678"/>
      <c r="F83" s="619">
        <f t="shared" si="5"/>
        <v>0</v>
      </c>
      <c r="G83" s="694">
        <f>F83</f>
        <v>0</v>
      </c>
      <c r="H83" s="706"/>
      <c r="I83" s="647"/>
      <c r="J83" s="693"/>
    </row>
    <row r="84" spans="1:10">
      <c r="A84" s="620"/>
      <c r="B84" s="625"/>
      <c r="C84" s="644"/>
      <c r="D84" s="645"/>
      <c r="E84" s="628"/>
      <c r="F84" s="619"/>
      <c r="G84" s="694"/>
      <c r="H84" s="706"/>
    </row>
    <row r="85" spans="1:10" ht="72" customHeight="1">
      <c r="A85" s="620" t="s">
        <v>1176</v>
      </c>
      <c r="B85" s="625" t="s">
        <v>464</v>
      </c>
      <c r="C85" s="644" t="s">
        <v>625</v>
      </c>
      <c r="D85" s="645">
        <v>110</v>
      </c>
      <c r="E85" s="678"/>
      <c r="F85" s="619">
        <f t="shared" si="5"/>
        <v>0</v>
      </c>
      <c r="G85" s="694">
        <f>F85</f>
        <v>0</v>
      </c>
      <c r="H85" s="706"/>
      <c r="I85" s="647"/>
      <c r="J85" s="693"/>
    </row>
    <row r="86" spans="1:10">
      <c r="A86" s="620"/>
      <c r="B86" s="625"/>
      <c r="C86" s="644"/>
      <c r="D86" s="645"/>
      <c r="E86" s="628"/>
      <c r="F86" s="619"/>
      <c r="G86" s="694"/>
      <c r="H86" s="706"/>
      <c r="I86" s="647"/>
      <c r="J86" s="693"/>
    </row>
    <row r="87" spans="1:10" ht="57.75" customHeight="1">
      <c r="A87" s="620" t="s">
        <v>1177</v>
      </c>
      <c r="B87" s="625" t="s">
        <v>463</v>
      </c>
      <c r="C87" s="644" t="s">
        <v>625</v>
      </c>
      <c r="D87" s="645">
        <v>117</v>
      </c>
      <c r="E87" s="678"/>
      <c r="F87" s="619">
        <f t="shared" si="5"/>
        <v>0</v>
      </c>
      <c r="G87" s="694">
        <f>F87</f>
        <v>0</v>
      </c>
      <c r="H87" s="706"/>
      <c r="I87" s="647"/>
      <c r="J87" s="693"/>
    </row>
    <row r="88" spans="1:10">
      <c r="A88" s="620"/>
      <c r="B88" s="625"/>
      <c r="C88" s="644"/>
      <c r="D88" s="645"/>
      <c r="E88" s="628"/>
      <c r="F88" s="619"/>
      <c r="G88" s="694"/>
      <c r="H88" s="706"/>
      <c r="I88" s="647"/>
      <c r="J88" s="693"/>
    </row>
    <row r="89" spans="1:10" ht="28.5">
      <c r="A89" s="620" t="s">
        <v>1178</v>
      </c>
      <c r="B89" s="625" t="s">
        <v>462</v>
      </c>
      <c r="C89" s="644" t="s">
        <v>625</v>
      </c>
      <c r="D89" s="645">
        <v>119</v>
      </c>
      <c r="E89" s="678"/>
      <c r="F89" s="619">
        <f t="shared" si="5"/>
        <v>0</v>
      </c>
      <c r="G89" s="694">
        <f>F89</f>
        <v>0</v>
      </c>
      <c r="H89" s="706"/>
      <c r="I89" s="647"/>
      <c r="J89" s="693"/>
    </row>
    <row r="90" spans="1:10">
      <c r="A90" s="620"/>
      <c r="B90" s="625"/>
      <c r="C90" s="644"/>
      <c r="D90" s="645"/>
      <c r="E90" s="628"/>
      <c r="F90" s="619"/>
      <c r="G90" s="694"/>
      <c r="H90" s="706"/>
      <c r="I90" s="647"/>
      <c r="J90" s="693"/>
    </row>
    <row r="91" spans="1:10" ht="69.75" customHeight="1">
      <c r="A91" s="620" t="s">
        <v>1179</v>
      </c>
      <c r="B91" s="625" t="s">
        <v>659</v>
      </c>
      <c r="C91" s="644" t="s">
        <v>625</v>
      </c>
      <c r="D91" s="645">
        <v>618</v>
      </c>
      <c r="E91" s="678"/>
      <c r="F91" s="619">
        <f t="shared" si="5"/>
        <v>0</v>
      </c>
      <c r="G91" s="694">
        <f>F91</f>
        <v>0</v>
      </c>
      <c r="H91" s="706"/>
      <c r="I91" s="647"/>
      <c r="J91" s="693"/>
    </row>
    <row r="92" spans="1:10">
      <c r="A92" s="620"/>
      <c r="B92" s="625"/>
      <c r="C92" s="644"/>
      <c r="D92" s="645"/>
      <c r="E92" s="628"/>
      <c r="F92" s="619"/>
      <c r="G92" s="694"/>
      <c r="H92" s="706"/>
      <c r="I92" s="647"/>
      <c r="J92" s="693"/>
    </row>
    <row r="93" spans="1:10" ht="69.75" customHeight="1">
      <c r="A93" s="620" t="s">
        <v>1180</v>
      </c>
      <c r="B93" s="625" t="s">
        <v>1369</v>
      </c>
      <c r="C93" s="644" t="s">
        <v>10</v>
      </c>
      <c r="D93" s="645">
        <v>2</v>
      </c>
      <c r="E93" s="678"/>
      <c r="F93" s="619">
        <f>(D93*E93)</f>
        <v>0</v>
      </c>
      <c r="G93" s="694">
        <f>F93</f>
        <v>0</v>
      </c>
      <c r="H93" s="706"/>
      <c r="I93" s="647"/>
      <c r="J93" s="693"/>
    </row>
    <row r="94" spans="1:10">
      <c r="A94" s="620"/>
      <c r="B94" s="625"/>
      <c r="C94" s="644"/>
      <c r="D94" s="645"/>
      <c r="E94" s="628"/>
      <c r="F94" s="619"/>
      <c r="G94" s="694"/>
      <c r="H94" s="706"/>
      <c r="I94" s="647"/>
      <c r="J94" s="693"/>
    </row>
    <row r="95" spans="1:10" ht="28.5">
      <c r="A95" s="620" t="s">
        <v>1181</v>
      </c>
      <c r="B95" s="625" t="s">
        <v>1370</v>
      </c>
      <c r="C95" s="644" t="s">
        <v>625</v>
      </c>
      <c r="D95" s="645">
        <v>12</v>
      </c>
      <c r="E95" s="678"/>
      <c r="F95" s="619">
        <f t="shared" ref="F95" si="6">D95*E95</f>
        <v>0</v>
      </c>
      <c r="G95" s="694">
        <f>F95</f>
        <v>0</v>
      </c>
      <c r="H95" s="706"/>
      <c r="I95" s="647"/>
      <c r="J95" s="693"/>
    </row>
    <row r="96" spans="1:10">
      <c r="A96" s="620"/>
      <c r="B96" s="625"/>
      <c r="C96" s="644"/>
      <c r="D96" s="645"/>
      <c r="E96" s="628"/>
      <c r="F96" s="619"/>
      <c r="G96" s="694"/>
      <c r="H96" s="706"/>
      <c r="I96" s="647"/>
      <c r="J96" s="693"/>
    </row>
    <row r="97" spans="1:10">
      <c r="A97" s="620" t="s">
        <v>1182</v>
      </c>
      <c r="B97" s="625" t="s">
        <v>1371</v>
      </c>
      <c r="C97" s="644" t="s">
        <v>70</v>
      </c>
      <c r="D97" s="645">
        <v>18.3</v>
      </c>
      <c r="E97" s="678"/>
      <c r="F97" s="619">
        <f>D97*E97</f>
        <v>0</v>
      </c>
      <c r="G97" s="694">
        <f>F97</f>
        <v>0</v>
      </c>
      <c r="H97" s="706"/>
      <c r="I97" s="647"/>
      <c r="J97" s="693"/>
    </row>
    <row r="98" spans="1:10">
      <c r="A98" s="620"/>
      <c r="B98" s="625"/>
      <c r="C98" s="644"/>
      <c r="D98" s="645"/>
      <c r="E98" s="628"/>
      <c r="F98" s="619"/>
      <c r="G98" s="694"/>
      <c r="H98" s="706"/>
      <c r="I98" s="647"/>
      <c r="J98" s="693"/>
    </row>
    <row r="99" spans="1:10" ht="85.5" customHeight="1">
      <c r="A99" s="620" t="s">
        <v>1183</v>
      </c>
      <c r="B99" s="625" t="s">
        <v>628</v>
      </c>
      <c r="C99" s="644" t="s">
        <v>625</v>
      </c>
      <c r="D99" s="645">
        <v>36</v>
      </c>
      <c r="E99" s="678"/>
      <c r="F99" s="619">
        <f>D99*E99</f>
        <v>0</v>
      </c>
      <c r="G99" s="694">
        <f>F99</f>
        <v>0</v>
      </c>
      <c r="H99" s="706"/>
      <c r="I99" s="647"/>
      <c r="J99" s="693"/>
    </row>
    <row r="100" spans="1:10">
      <c r="A100" s="620"/>
      <c r="B100" s="707"/>
      <c r="C100" s="707"/>
      <c r="D100" s="707"/>
      <c r="E100" s="708"/>
      <c r="F100" s="709"/>
      <c r="G100" s="694"/>
      <c r="H100" s="706"/>
    </row>
    <row r="101" spans="1:10">
      <c r="A101" s="620"/>
      <c r="B101" s="613" t="s">
        <v>660</v>
      </c>
      <c r="C101" s="684"/>
      <c r="D101" s="685"/>
      <c r="E101" s="624"/>
      <c r="F101" s="619"/>
      <c r="G101" s="694"/>
      <c r="H101" s="706"/>
    </row>
    <row r="102" spans="1:10">
      <c r="A102" s="620" t="s">
        <v>1184</v>
      </c>
      <c r="B102" s="643" t="s">
        <v>1093</v>
      </c>
      <c r="C102" s="644" t="s">
        <v>72</v>
      </c>
      <c r="D102" s="645">
        <v>1</v>
      </c>
      <c r="E102" s="679"/>
      <c r="F102" s="630">
        <f>(D102*E102)</f>
        <v>0</v>
      </c>
      <c r="G102" s="694">
        <f>F102</f>
        <v>0</v>
      </c>
      <c r="H102" s="706"/>
    </row>
    <row r="103" spans="1:10">
      <c r="A103" s="620"/>
      <c r="B103" s="625"/>
      <c r="C103" s="644"/>
      <c r="D103" s="645"/>
      <c r="E103" s="628"/>
      <c r="F103" s="630"/>
      <c r="G103" s="694"/>
      <c r="H103" s="706"/>
    </row>
    <row r="104" spans="1:10" ht="57" customHeight="1">
      <c r="A104" s="620" t="s">
        <v>1185</v>
      </c>
      <c r="B104" s="625" t="s">
        <v>339</v>
      </c>
      <c r="C104" s="644" t="s">
        <v>40</v>
      </c>
      <c r="D104" s="645">
        <v>12.6</v>
      </c>
      <c r="E104" s="678"/>
      <c r="F104" s="619">
        <f>+D104*E104</f>
        <v>0</v>
      </c>
      <c r="G104" s="694">
        <f>F104</f>
        <v>0</v>
      </c>
      <c r="H104" s="706"/>
      <c r="I104" s="647"/>
      <c r="J104" s="647"/>
    </row>
    <row r="105" spans="1:10">
      <c r="A105" s="620"/>
      <c r="B105" s="625"/>
      <c r="C105" s="644"/>
      <c r="D105" s="645"/>
      <c r="E105" s="628"/>
      <c r="F105" s="619"/>
      <c r="G105" s="694"/>
      <c r="H105" s="706"/>
      <c r="I105" s="647"/>
      <c r="J105" s="647"/>
    </row>
    <row r="106" spans="1:10" ht="51" customHeight="1">
      <c r="A106" s="620" t="s">
        <v>1186</v>
      </c>
      <c r="B106" s="625" t="s">
        <v>1151</v>
      </c>
      <c r="C106" s="644" t="s">
        <v>40</v>
      </c>
      <c r="D106" s="645">
        <v>75</v>
      </c>
      <c r="E106" s="678"/>
      <c r="F106" s="619">
        <f t="shared" ref="F106:F108" si="7">+D106*E106</f>
        <v>0</v>
      </c>
      <c r="G106" s="694">
        <f>F106</f>
        <v>0</v>
      </c>
      <c r="H106" s="706"/>
      <c r="I106" s="647"/>
      <c r="J106" s="647"/>
    </row>
    <row r="107" spans="1:10">
      <c r="A107" s="620"/>
      <c r="B107" s="625"/>
      <c r="C107" s="644"/>
      <c r="D107" s="645"/>
      <c r="E107" s="628"/>
      <c r="F107" s="619"/>
      <c r="G107" s="694"/>
      <c r="H107" s="706"/>
      <c r="I107" s="647"/>
      <c r="J107" s="647"/>
    </row>
    <row r="108" spans="1:10" ht="28.5">
      <c r="A108" s="620" t="s">
        <v>1187</v>
      </c>
      <c r="B108" s="625" t="s">
        <v>1152</v>
      </c>
      <c r="C108" s="644" t="s">
        <v>40</v>
      </c>
      <c r="D108" s="645">
        <v>189</v>
      </c>
      <c r="E108" s="678"/>
      <c r="F108" s="619">
        <f t="shared" si="7"/>
        <v>0</v>
      </c>
      <c r="G108" s="694">
        <f>F108</f>
        <v>0</v>
      </c>
      <c r="H108" s="706"/>
      <c r="I108" s="647"/>
      <c r="J108" s="693"/>
    </row>
    <row r="109" spans="1:10">
      <c r="A109" s="620"/>
      <c r="B109" s="625"/>
      <c r="C109" s="644"/>
      <c r="D109" s="645"/>
      <c r="E109" s="628"/>
      <c r="F109" s="619"/>
      <c r="G109" s="694"/>
      <c r="H109" s="706"/>
    </row>
    <row r="110" spans="1:10">
      <c r="A110" s="620" t="s">
        <v>1188</v>
      </c>
      <c r="B110" s="625" t="s">
        <v>78</v>
      </c>
      <c r="C110" s="644" t="s">
        <v>11</v>
      </c>
      <c r="D110" s="645">
        <v>630</v>
      </c>
      <c r="E110" s="678"/>
      <c r="F110" s="619">
        <f>+D110*E110</f>
        <v>0</v>
      </c>
      <c r="G110" s="694">
        <f>F110</f>
        <v>0</v>
      </c>
      <c r="H110" s="706"/>
    </row>
    <row r="111" spans="1:10">
      <c r="A111" s="620"/>
      <c r="B111" s="625"/>
      <c r="C111" s="644"/>
      <c r="D111" s="645"/>
      <c r="E111" s="628"/>
      <c r="F111" s="619"/>
      <c r="G111" s="694"/>
      <c r="H111" s="706"/>
    </row>
    <row r="112" spans="1:10" ht="69.75" customHeight="1">
      <c r="A112" s="620" t="s">
        <v>1189</v>
      </c>
      <c r="B112" s="625" t="s">
        <v>1574</v>
      </c>
      <c r="C112" s="644" t="s">
        <v>10</v>
      </c>
      <c r="D112" s="645">
        <v>3</v>
      </c>
      <c r="E112" s="678"/>
      <c r="F112" s="619">
        <f t="shared" ref="F112" si="8">D112*E112</f>
        <v>0</v>
      </c>
      <c r="G112" s="694">
        <f>F112</f>
        <v>0</v>
      </c>
      <c r="H112" s="706"/>
    </row>
    <row r="113" spans="1:8">
      <c r="A113" s="620"/>
      <c r="B113" s="625"/>
      <c r="C113" s="644"/>
      <c r="D113" s="645"/>
      <c r="E113" s="628"/>
      <c r="F113" s="619"/>
      <c r="G113" s="694"/>
      <c r="H113" s="706"/>
    </row>
    <row r="114" spans="1:8">
      <c r="A114" s="620" t="s">
        <v>1190</v>
      </c>
      <c r="B114" s="625" t="s">
        <v>79</v>
      </c>
      <c r="C114" s="644" t="s">
        <v>40</v>
      </c>
      <c r="D114" s="645">
        <v>293</v>
      </c>
      <c r="E114" s="678"/>
      <c r="F114" s="619">
        <f t="shared" ref="F114" si="9">(D114*E114)</f>
        <v>0</v>
      </c>
      <c r="G114" s="694">
        <f>F114</f>
        <v>0</v>
      </c>
      <c r="H114" s="706"/>
    </row>
    <row r="115" spans="1:8">
      <c r="A115" s="620"/>
      <c r="B115" s="625"/>
      <c r="C115" s="626"/>
      <c r="D115" s="627"/>
      <c r="E115" s="628"/>
      <c r="F115" s="630"/>
      <c r="G115" s="694"/>
      <c r="H115" s="706"/>
    </row>
    <row r="116" spans="1:8">
      <c r="A116" s="663"/>
      <c r="B116" s="648" t="s">
        <v>1128</v>
      </c>
      <c r="C116" s="626"/>
      <c r="D116" s="627"/>
      <c r="E116" s="628"/>
      <c r="F116" s="630"/>
      <c r="G116" s="694"/>
      <c r="H116" s="706"/>
    </row>
    <row r="117" spans="1:8">
      <c r="A117" s="620" t="s">
        <v>1191</v>
      </c>
      <c r="B117" s="643" t="s">
        <v>79</v>
      </c>
      <c r="C117" s="644" t="s">
        <v>40</v>
      </c>
      <c r="D117" s="645">
        <v>33.5</v>
      </c>
      <c r="E117" s="679"/>
      <c r="F117" s="630">
        <f>(D117*E117)</f>
        <v>0</v>
      </c>
      <c r="G117" s="694">
        <f>F117</f>
        <v>0</v>
      </c>
      <c r="H117" s="706"/>
    </row>
    <row r="118" spans="1:8">
      <c r="A118" s="620"/>
      <c r="B118" s="643"/>
      <c r="C118" s="622"/>
      <c r="D118" s="623"/>
      <c r="E118" s="624"/>
      <c r="F118" s="619"/>
      <c r="G118" s="694"/>
      <c r="H118" s="706"/>
    </row>
    <row r="119" spans="1:8" ht="28.5">
      <c r="A119" s="631" t="s">
        <v>1192</v>
      </c>
      <c r="B119" s="625" t="s">
        <v>1171</v>
      </c>
      <c r="C119" s="688" t="s">
        <v>40</v>
      </c>
      <c r="D119" s="689">
        <v>12.5</v>
      </c>
      <c r="E119" s="723"/>
      <c r="F119" s="630">
        <f>(D119*E119)</f>
        <v>0</v>
      </c>
      <c r="G119" s="694">
        <f>F119</f>
        <v>0</v>
      </c>
      <c r="H119" s="706"/>
    </row>
    <row r="120" spans="1:8">
      <c r="A120" s="631"/>
      <c r="B120" s="625"/>
      <c r="C120" s="688"/>
      <c r="D120" s="689"/>
      <c r="E120" s="690"/>
      <c r="F120" s="619"/>
      <c r="G120" s="694"/>
      <c r="H120" s="706"/>
    </row>
    <row r="121" spans="1:8" ht="28.5">
      <c r="A121" s="620" t="s">
        <v>1193</v>
      </c>
      <c r="B121" s="625" t="s">
        <v>661</v>
      </c>
      <c r="C121" s="626" t="s">
        <v>40</v>
      </c>
      <c r="D121" s="627">
        <v>21</v>
      </c>
      <c r="E121" s="678"/>
      <c r="F121" s="630">
        <f>(D121*E121)</f>
        <v>0</v>
      </c>
      <c r="G121" s="694">
        <f>F121</f>
        <v>0</v>
      </c>
      <c r="H121" s="706"/>
    </row>
    <row r="122" spans="1:8">
      <c r="A122" s="620"/>
      <c r="B122" s="625"/>
      <c r="C122" s="626"/>
      <c r="D122" s="627"/>
      <c r="E122" s="628"/>
      <c r="F122" s="634"/>
      <c r="G122" s="694"/>
      <c r="H122" s="706"/>
    </row>
    <row r="123" spans="1:8">
      <c r="A123" s="631" t="s">
        <v>1402</v>
      </c>
      <c r="B123" s="625" t="s">
        <v>78</v>
      </c>
      <c r="C123" s="626" t="s">
        <v>11</v>
      </c>
      <c r="D123" s="627">
        <v>71</v>
      </c>
      <c r="E123" s="678"/>
      <c r="F123" s="630">
        <f>(D123*E123)</f>
        <v>0</v>
      </c>
      <c r="G123" s="694">
        <f>F123</f>
        <v>0</v>
      </c>
      <c r="H123" s="706"/>
    </row>
    <row r="124" spans="1:8">
      <c r="A124" s="664"/>
      <c r="B124" s="625"/>
      <c r="C124" s="626"/>
      <c r="D124" s="627"/>
      <c r="E124" s="628"/>
      <c r="F124" s="630"/>
      <c r="G124" s="694"/>
      <c r="H124" s="706"/>
    </row>
    <row r="125" spans="1:8">
      <c r="A125" s="663"/>
      <c r="B125" s="648" t="s">
        <v>1666</v>
      </c>
      <c r="C125" s="626"/>
      <c r="D125" s="627"/>
      <c r="E125" s="628"/>
      <c r="F125" s="630"/>
      <c r="G125" s="694"/>
      <c r="H125" s="706"/>
    </row>
    <row r="126" spans="1:8">
      <c r="A126" s="620" t="s">
        <v>1403</v>
      </c>
      <c r="B126" s="643" t="s">
        <v>79</v>
      </c>
      <c r="C126" s="644" t="s">
        <v>40</v>
      </c>
      <c r="D126" s="645">
        <v>70</v>
      </c>
      <c r="E126" s="679"/>
      <c r="F126" s="630">
        <f>(D126*E126)</f>
        <v>0</v>
      </c>
      <c r="G126" s="694">
        <f>F126</f>
        <v>0</v>
      </c>
      <c r="H126" s="706"/>
    </row>
    <row r="127" spans="1:8">
      <c r="A127" s="620"/>
      <c r="B127" s="643"/>
      <c r="C127" s="622"/>
      <c r="D127" s="623"/>
      <c r="E127" s="624"/>
      <c r="F127" s="619"/>
      <c r="G127" s="694"/>
      <c r="H127" s="706"/>
    </row>
    <row r="128" spans="1:8" ht="28.5">
      <c r="A128" s="631" t="s">
        <v>1404</v>
      </c>
      <c r="B128" s="625" t="s">
        <v>1171</v>
      </c>
      <c r="C128" s="688" t="s">
        <v>40</v>
      </c>
      <c r="D128" s="689">
        <v>29</v>
      </c>
      <c r="E128" s="723"/>
      <c r="F128" s="630">
        <f>(D128*E128)</f>
        <v>0</v>
      </c>
      <c r="G128" s="694">
        <f>F128</f>
        <v>0</v>
      </c>
      <c r="H128" s="706"/>
    </row>
    <row r="129" spans="1:10">
      <c r="A129" s="631"/>
      <c r="B129" s="625"/>
      <c r="C129" s="688"/>
      <c r="D129" s="689"/>
      <c r="E129" s="690"/>
      <c r="F129" s="619"/>
      <c r="G129" s="694"/>
      <c r="H129" s="706"/>
    </row>
    <row r="130" spans="1:10" ht="28.5">
      <c r="A130" s="620" t="s">
        <v>1405</v>
      </c>
      <c r="B130" s="625" t="s">
        <v>661</v>
      </c>
      <c r="C130" s="626" t="s">
        <v>40</v>
      </c>
      <c r="D130" s="627">
        <v>51</v>
      </c>
      <c r="E130" s="678"/>
      <c r="F130" s="630">
        <f>(D130*E130)</f>
        <v>0</v>
      </c>
      <c r="G130" s="694">
        <f>F130</f>
        <v>0</v>
      </c>
      <c r="H130" s="706"/>
    </row>
    <row r="131" spans="1:10">
      <c r="A131" s="620"/>
      <c r="B131" s="625"/>
      <c r="C131" s="626"/>
      <c r="D131" s="627"/>
      <c r="E131" s="628"/>
      <c r="F131" s="634"/>
      <c r="G131" s="694"/>
      <c r="H131" s="706"/>
    </row>
    <row r="132" spans="1:10">
      <c r="A132" s="631" t="s">
        <v>1693</v>
      </c>
      <c r="B132" s="625" t="s">
        <v>78</v>
      </c>
      <c r="C132" s="626" t="s">
        <v>11</v>
      </c>
      <c r="D132" s="627">
        <v>170</v>
      </c>
      <c r="E132" s="678"/>
      <c r="F132" s="630">
        <f>(D132*E132)</f>
        <v>0</v>
      </c>
      <c r="G132" s="694">
        <f>F132</f>
        <v>0</v>
      </c>
      <c r="H132" s="706"/>
    </row>
    <row r="133" spans="1:10">
      <c r="A133" s="631"/>
      <c r="B133" s="625"/>
      <c r="C133" s="626"/>
      <c r="D133" s="627"/>
      <c r="E133" s="628"/>
      <c r="F133" s="630"/>
      <c r="G133" s="694"/>
      <c r="H133" s="706"/>
    </row>
    <row r="134" spans="1:10" ht="28.5">
      <c r="A134" s="620" t="s">
        <v>1694</v>
      </c>
      <c r="B134" s="625" t="s">
        <v>472</v>
      </c>
      <c r="C134" s="626" t="s">
        <v>627</v>
      </c>
      <c r="D134" s="627">
        <v>48</v>
      </c>
      <c r="E134" s="678"/>
      <c r="F134" s="630">
        <f>D134*E134</f>
        <v>0</v>
      </c>
      <c r="G134" s="694">
        <f>F134</f>
        <v>0</v>
      </c>
      <c r="H134" s="706"/>
    </row>
    <row r="135" spans="1:10">
      <c r="A135" s="620"/>
      <c r="B135" s="625"/>
      <c r="C135" s="626"/>
      <c r="D135" s="627"/>
      <c r="E135" s="628"/>
      <c r="F135" s="634"/>
      <c r="G135" s="694"/>
      <c r="H135" s="706"/>
    </row>
    <row r="136" spans="1:10">
      <c r="A136" s="620"/>
      <c r="B136" s="613" t="s">
        <v>699</v>
      </c>
      <c r="C136" s="626"/>
      <c r="D136" s="627"/>
      <c r="E136" s="628"/>
      <c r="F136" s="634"/>
      <c r="G136" s="694"/>
      <c r="H136" s="706"/>
    </row>
    <row r="137" spans="1:10">
      <c r="A137" s="620" t="s">
        <v>1695</v>
      </c>
      <c r="B137" s="643" t="s">
        <v>1093</v>
      </c>
      <c r="C137" s="644" t="s">
        <v>72</v>
      </c>
      <c r="D137" s="645">
        <v>1</v>
      </c>
      <c r="E137" s="679"/>
      <c r="F137" s="630">
        <f>(D137*E137)</f>
        <v>0</v>
      </c>
      <c r="G137" s="694">
        <f>F137</f>
        <v>0</v>
      </c>
      <c r="H137" s="706"/>
    </row>
    <row r="138" spans="1:10">
      <c r="A138" s="620"/>
      <c r="B138" s="643"/>
      <c r="C138" s="644"/>
      <c r="D138" s="645"/>
      <c r="E138" s="646"/>
      <c r="F138" s="630"/>
      <c r="G138" s="694"/>
      <c r="H138" s="706"/>
    </row>
    <row r="139" spans="1:10" ht="54.75" customHeight="1">
      <c r="A139" s="663" t="s">
        <v>1696</v>
      </c>
      <c r="B139" s="643" t="s">
        <v>1133</v>
      </c>
      <c r="C139" s="644" t="s">
        <v>70</v>
      </c>
      <c r="D139" s="645">
        <v>720</v>
      </c>
      <c r="E139" s="679"/>
      <c r="F139" s="630">
        <f>(D139*E139)</f>
        <v>0</v>
      </c>
      <c r="G139" s="694">
        <f>F139</f>
        <v>0</v>
      </c>
      <c r="H139" s="706"/>
      <c r="J139" s="710"/>
    </row>
    <row r="140" spans="1:10" ht="15.75" thickBot="1">
      <c r="A140" s="696"/>
      <c r="B140" s="650"/>
      <c r="C140" s="651"/>
      <c r="D140" s="652"/>
      <c r="E140" s="653"/>
      <c r="F140" s="656"/>
      <c r="G140" s="711"/>
      <c r="H140" s="712"/>
    </row>
    <row r="141" spans="1:10" ht="16.5" thickTop="1" thickBot="1">
      <c r="A141" s="657" t="s">
        <v>43</v>
      </c>
      <c r="B141" s="658" t="s">
        <v>684</v>
      </c>
      <c r="C141" s="659"/>
      <c r="D141" s="660"/>
      <c r="E141" s="661"/>
      <c r="F141" s="698">
        <f>SUM(F47:F140)</f>
        <v>0</v>
      </c>
      <c r="G141" s="713">
        <f>SUM(G46:G140)</f>
        <v>0</v>
      </c>
      <c r="H141" s="713">
        <f>SUM(H46:H140)</f>
        <v>0</v>
      </c>
    </row>
    <row r="142" spans="1:10" ht="15.75" thickTop="1">
      <c r="A142" s="620"/>
      <c r="B142" s="625"/>
      <c r="C142" s="626"/>
      <c r="D142" s="627"/>
      <c r="E142" s="628"/>
      <c r="F142" s="634"/>
      <c r="G142" s="694"/>
      <c r="H142" s="706"/>
    </row>
    <row r="143" spans="1:10">
      <c r="A143" s="612" t="s">
        <v>65</v>
      </c>
      <c r="B143" s="613" t="s">
        <v>682</v>
      </c>
      <c r="C143" s="614"/>
      <c r="D143" s="615"/>
      <c r="E143" s="616"/>
      <c r="F143" s="619"/>
      <c r="G143" s="694"/>
      <c r="H143" s="706"/>
    </row>
    <row r="144" spans="1:10">
      <c r="A144" s="620"/>
      <c r="B144" s="625"/>
      <c r="C144" s="626"/>
      <c r="D144" s="627"/>
      <c r="E144" s="628"/>
      <c r="F144" s="634"/>
      <c r="G144" s="694"/>
      <c r="H144" s="706"/>
    </row>
    <row r="145" spans="1:14" ht="15.75">
      <c r="A145" s="664" t="s">
        <v>715</v>
      </c>
      <c r="B145" s="625" t="s">
        <v>478</v>
      </c>
      <c r="C145" s="644" t="s">
        <v>625</v>
      </c>
      <c r="D145" s="645">
        <v>40</v>
      </c>
      <c r="E145" s="678"/>
      <c r="F145" s="619">
        <f t="shared" ref="F145:F155" si="10">D145*E145</f>
        <v>0</v>
      </c>
      <c r="G145" s="391">
        <f>D145*E145*0.78</f>
        <v>0</v>
      </c>
      <c r="H145" s="234">
        <f>D145*E145*0.22</f>
        <v>0</v>
      </c>
    </row>
    <row r="146" spans="1:14">
      <c r="A146" s="664"/>
      <c r="B146" s="625"/>
      <c r="C146" s="644"/>
      <c r="D146" s="645"/>
      <c r="E146" s="628"/>
      <c r="F146" s="619"/>
      <c r="G146" s="694"/>
      <c r="H146" s="706"/>
    </row>
    <row r="147" spans="1:14">
      <c r="A147" s="664" t="s">
        <v>716</v>
      </c>
      <c r="B147" s="625" t="s">
        <v>477</v>
      </c>
      <c r="C147" s="644" t="s">
        <v>10</v>
      </c>
      <c r="D147" s="645">
        <v>6</v>
      </c>
      <c r="E147" s="678"/>
      <c r="F147" s="619">
        <f t="shared" si="10"/>
        <v>0</v>
      </c>
      <c r="G147" s="391">
        <f>D147*E147*0.83</f>
        <v>0</v>
      </c>
      <c r="H147" s="234">
        <f>D147*E147*0.17</f>
        <v>0</v>
      </c>
    </row>
    <row r="148" spans="1:14">
      <c r="A148" s="664"/>
      <c r="B148" s="625"/>
      <c r="C148" s="644"/>
      <c r="D148" s="645"/>
      <c r="E148" s="628"/>
      <c r="F148" s="619"/>
      <c r="G148" s="694"/>
      <c r="H148" s="714"/>
    </row>
    <row r="149" spans="1:14" ht="45" customHeight="1">
      <c r="A149" s="664" t="s">
        <v>717</v>
      </c>
      <c r="B149" s="625" t="s">
        <v>476</v>
      </c>
      <c r="C149" s="644" t="s">
        <v>626</v>
      </c>
      <c r="D149" s="645">
        <v>210</v>
      </c>
      <c r="E149" s="678"/>
      <c r="F149" s="619">
        <f t="shared" si="10"/>
        <v>0</v>
      </c>
      <c r="G149" s="694">
        <f>F149-H149</f>
        <v>0</v>
      </c>
      <c r="H149" s="629"/>
      <c r="J149" s="647"/>
      <c r="K149" s="647"/>
      <c r="L149" s="647"/>
      <c r="M149" s="647"/>
      <c r="N149" s="647"/>
    </row>
    <row r="150" spans="1:14">
      <c r="A150" s="664"/>
      <c r="B150" s="625"/>
      <c r="C150" s="644"/>
      <c r="D150" s="645"/>
      <c r="E150" s="628"/>
      <c r="F150" s="619"/>
      <c r="G150" s="694"/>
      <c r="H150" s="706"/>
    </row>
    <row r="151" spans="1:14" ht="45.75" customHeight="1">
      <c r="A151" s="664" t="s">
        <v>718</v>
      </c>
      <c r="B151" s="625" t="s">
        <v>485</v>
      </c>
      <c r="C151" s="644" t="s">
        <v>625</v>
      </c>
      <c r="D151" s="645">
        <v>15</v>
      </c>
      <c r="E151" s="678"/>
      <c r="F151" s="619">
        <f t="shared" si="10"/>
        <v>0</v>
      </c>
      <c r="G151" s="694">
        <f>F151</f>
        <v>0</v>
      </c>
      <c r="H151" s="706"/>
    </row>
    <row r="152" spans="1:14">
      <c r="A152" s="664"/>
      <c r="B152" s="625"/>
      <c r="C152" s="644"/>
      <c r="D152" s="645"/>
      <c r="E152" s="628"/>
      <c r="F152" s="619"/>
      <c r="G152" s="694"/>
      <c r="H152" s="706"/>
    </row>
    <row r="153" spans="1:14" ht="42.75">
      <c r="A153" s="664" t="s">
        <v>719</v>
      </c>
      <c r="B153" s="625" t="s">
        <v>1134</v>
      </c>
      <c r="C153" s="644" t="s">
        <v>10</v>
      </c>
      <c r="D153" s="645">
        <v>1</v>
      </c>
      <c r="E153" s="678"/>
      <c r="F153" s="619">
        <f t="shared" si="10"/>
        <v>0</v>
      </c>
      <c r="G153" s="694">
        <f>F153</f>
        <v>0</v>
      </c>
      <c r="H153" s="706"/>
      <c r="J153" s="647"/>
      <c r="K153" s="647"/>
      <c r="L153" s="647"/>
      <c r="M153" s="647"/>
      <c r="N153" s="647"/>
    </row>
    <row r="154" spans="1:14">
      <c r="A154" s="664"/>
      <c r="B154" s="625"/>
      <c r="C154" s="644"/>
      <c r="D154" s="645"/>
      <c r="E154" s="628"/>
      <c r="F154" s="619"/>
      <c r="G154" s="694"/>
      <c r="H154" s="706"/>
      <c r="J154" s="647"/>
      <c r="K154" s="647"/>
      <c r="L154" s="647"/>
      <c r="M154" s="647"/>
      <c r="N154" s="647"/>
    </row>
    <row r="155" spans="1:14" ht="42.75">
      <c r="A155" s="664" t="s">
        <v>720</v>
      </c>
      <c r="B155" s="625" t="s">
        <v>1089</v>
      </c>
      <c r="C155" s="644" t="s">
        <v>10</v>
      </c>
      <c r="D155" s="645">
        <v>3</v>
      </c>
      <c r="E155" s="678"/>
      <c r="F155" s="619">
        <f t="shared" si="10"/>
        <v>0</v>
      </c>
      <c r="G155" s="694">
        <f>F155</f>
        <v>0</v>
      </c>
      <c r="H155" s="706"/>
      <c r="J155" s="647"/>
      <c r="K155" s="647"/>
      <c r="L155" s="647"/>
      <c r="M155" s="647"/>
      <c r="N155" s="647"/>
    </row>
    <row r="156" spans="1:14">
      <c r="A156" s="664"/>
      <c r="B156" s="625"/>
      <c r="C156" s="644"/>
      <c r="D156" s="645"/>
      <c r="E156" s="628"/>
      <c r="F156" s="619"/>
      <c r="G156" s="694"/>
      <c r="H156" s="706"/>
      <c r="J156" s="647"/>
      <c r="K156" s="647"/>
      <c r="L156" s="647"/>
      <c r="M156" s="647"/>
      <c r="N156" s="647"/>
    </row>
    <row r="157" spans="1:14" ht="43.5" customHeight="1">
      <c r="A157" s="664" t="s">
        <v>721</v>
      </c>
      <c r="B157" s="625" t="s">
        <v>484</v>
      </c>
      <c r="C157" s="644" t="s">
        <v>627</v>
      </c>
      <c r="D157" s="645">
        <v>357</v>
      </c>
      <c r="E157" s="678"/>
      <c r="F157" s="619">
        <f t="shared" ref="F157:F167" si="11">D157*E157</f>
        <v>0</v>
      </c>
      <c r="G157" s="694">
        <f>F157-H157</f>
        <v>0</v>
      </c>
      <c r="H157" s="629"/>
    </row>
    <row r="158" spans="1:14">
      <c r="A158" s="664"/>
      <c r="B158" s="625"/>
      <c r="C158" s="644"/>
      <c r="D158" s="645"/>
      <c r="E158" s="628"/>
      <c r="F158" s="619"/>
      <c r="G158" s="694"/>
      <c r="H158" s="714"/>
    </row>
    <row r="159" spans="1:14" ht="43.5" customHeight="1">
      <c r="A159" s="664" t="s">
        <v>722</v>
      </c>
      <c r="B159" s="625" t="s">
        <v>483</v>
      </c>
      <c r="C159" s="644" t="s">
        <v>627</v>
      </c>
      <c r="D159" s="645">
        <v>1303</v>
      </c>
      <c r="E159" s="678"/>
      <c r="F159" s="619">
        <f t="shared" si="11"/>
        <v>0</v>
      </c>
      <c r="G159" s="391">
        <f>D159*E159*0.975</f>
        <v>0</v>
      </c>
      <c r="H159" s="234">
        <f>D159*E159*0.025</f>
        <v>0</v>
      </c>
    </row>
    <row r="160" spans="1:14">
      <c r="A160" s="664"/>
      <c r="B160" s="625"/>
      <c r="C160" s="644"/>
      <c r="D160" s="645"/>
      <c r="E160" s="628"/>
      <c r="F160" s="619"/>
      <c r="G160" s="694"/>
      <c r="H160" s="714"/>
    </row>
    <row r="161" spans="1:8" ht="42.75" customHeight="1">
      <c r="A161" s="664" t="s">
        <v>723</v>
      </c>
      <c r="B161" s="625" t="s">
        <v>482</v>
      </c>
      <c r="C161" s="644" t="s">
        <v>627</v>
      </c>
      <c r="D161" s="645">
        <v>896</v>
      </c>
      <c r="E161" s="678"/>
      <c r="F161" s="619">
        <f t="shared" si="11"/>
        <v>0</v>
      </c>
      <c r="G161" s="391">
        <f>D161*E161*0.99</f>
        <v>0</v>
      </c>
      <c r="H161" s="234">
        <f>D161*E161*0.01</f>
        <v>0</v>
      </c>
    </row>
    <row r="162" spans="1:8">
      <c r="A162" s="664"/>
      <c r="B162" s="625"/>
      <c r="C162" s="644"/>
      <c r="D162" s="645"/>
      <c r="E162" s="628"/>
      <c r="F162" s="619"/>
      <c r="G162" s="694"/>
      <c r="H162" s="714"/>
    </row>
    <row r="163" spans="1:8" ht="42.75">
      <c r="A163" s="664" t="s">
        <v>724</v>
      </c>
      <c r="B163" s="625" t="s">
        <v>481</v>
      </c>
      <c r="C163" s="644" t="s">
        <v>627</v>
      </c>
      <c r="D163" s="645">
        <v>472</v>
      </c>
      <c r="E163" s="678"/>
      <c r="F163" s="619">
        <f t="shared" si="11"/>
        <v>0</v>
      </c>
      <c r="G163" s="391">
        <f>D163*E163*0.96</f>
        <v>0</v>
      </c>
      <c r="H163" s="234">
        <f>D163*E163*0.04</f>
        <v>0</v>
      </c>
    </row>
    <row r="164" spans="1:8">
      <c r="A164" s="664"/>
      <c r="B164" s="625"/>
      <c r="C164" s="644"/>
      <c r="D164" s="645"/>
      <c r="E164" s="628"/>
      <c r="F164" s="619"/>
      <c r="G164" s="694"/>
      <c r="H164" s="714"/>
    </row>
    <row r="165" spans="1:8" ht="15.75">
      <c r="A165" s="664" t="s">
        <v>725</v>
      </c>
      <c r="B165" s="625" t="s">
        <v>470</v>
      </c>
      <c r="C165" s="644" t="s">
        <v>626</v>
      </c>
      <c r="D165" s="645">
        <v>1572</v>
      </c>
      <c r="E165" s="678"/>
      <c r="F165" s="619">
        <f t="shared" si="11"/>
        <v>0</v>
      </c>
      <c r="G165" s="391">
        <f>D165*E165*0.96</f>
        <v>0</v>
      </c>
      <c r="H165" s="234">
        <f>D165*E165*0.04</f>
        <v>0</v>
      </c>
    </row>
    <row r="166" spans="1:8">
      <c r="A166" s="664"/>
      <c r="B166" s="625"/>
      <c r="C166" s="644"/>
      <c r="D166" s="645"/>
      <c r="E166" s="628"/>
      <c r="F166" s="619"/>
      <c r="G166" s="694"/>
      <c r="H166" s="714"/>
    </row>
    <row r="167" spans="1:8" ht="15.75">
      <c r="A167" s="664" t="s">
        <v>726</v>
      </c>
      <c r="B167" s="625" t="s">
        <v>469</v>
      </c>
      <c r="C167" s="644" t="s">
        <v>626</v>
      </c>
      <c r="D167" s="645">
        <v>165</v>
      </c>
      <c r="E167" s="678"/>
      <c r="F167" s="619">
        <f t="shared" si="11"/>
        <v>0</v>
      </c>
      <c r="G167" s="391">
        <f>D167*E167*0.82</f>
        <v>0</v>
      </c>
      <c r="H167" s="234">
        <f>D167*E167*0.18</f>
        <v>0</v>
      </c>
    </row>
    <row r="168" spans="1:8">
      <c r="A168" s="664"/>
      <c r="B168" s="625"/>
      <c r="C168" s="644"/>
      <c r="D168" s="645"/>
      <c r="E168" s="628"/>
      <c r="F168" s="619"/>
      <c r="G168" s="694"/>
      <c r="H168" s="714"/>
    </row>
    <row r="169" spans="1:8" ht="28.5">
      <c r="A169" s="664" t="s">
        <v>727</v>
      </c>
      <c r="B169" s="625" t="s">
        <v>338</v>
      </c>
      <c r="C169" s="644" t="s">
        <v>626</v>
      </c>
      <c r="D169" s="645">
        <v>1572</v>
      </c>
      <c r="E169" s="678"/>
      <c r="F169" s="619">
        <f>D169*E169</f>
        <v>0</v>
      </c>
      <c r="G169" s="391">
        <f>D169*E169*0.97</f>
        <v>0</v>
      </c>
      <c r="H169" s="234">
        <f>D169*E169*0.03</f>
        <v>0</v>
      </c>
    </row>
    <row r="170" spans="1:8">
      <c r="A170" s="664"/>
      <c r="B170" s="625"/>
      <c r="C170" s="644"/>
      <c r="D170" s="645"/>
      <c r="E170" s="628"/>
      <c r="F170" s="619"/>
      <c r="G170" s="694"/>
      <c r="H170" s="714"/>
    </row>
    <row r="171" spans="1:8" ht="60" customHeight="1">
      <c r="A171" s="664" t="s">
        <v>728</v>
      </c>
      <c r="B171" s="625" t="s">
        <v>479</v>
      </c>
      <c r="C171" s="644" t="s">
        <v>627</v>
      </c>
      <c r="D171" s="645">
        <v>314</v>
      </c>
      <c r="E171" s="678"/>
      <c r="F171" s="619">
        <f>D171*E171</f>
        <v>0</v>
      </c>
      <c r="G171" s="391">
        <f>D171*E171*0.97</f>
        <v>0</v>
      </c>
      <c r="H171" s="234">
        <f>D171*E171*0.03</f>
        <v>0</v>
      </c>
    </row>
    <row r="172" spans="1:8" ht="15.75" thickBot="1">
      <c r="A172" s="649"/>
      <c r="B172" s="650"/>
      <c r="C172" s="651"/>
      <c r="D172" s="652"/>
      <c r="E172" s="653"/>
      <c r="F172" s="656"/>
      <c r="G172" s="715"/>
      <c r="H172" s="716"/>
    </row>
    <row r="173" spans="1:8" ht="16.5" thickTop="1" thickBot="1">
      <c r="A173" s="657" t="s">
        <v>65</v>
      </c>
      <c r="B173" s="658" t="s">
        <v>1130</v>
      </c>
      <c r="C173" s="659"/>
      <c r="D173" s="660"/>
      <c r="E173" s="661"/>
      <c r="F173" s="698">
        <f>SUM(F142:F172)</f>
        <v>0</v>
      </c>
      <c r="G173" s="717">
        <f>SUM(G143:G172)</f>
        <v>0</v>
      </c>
      <c r="H173" s="718">
        <f>SUM(H143:H172)</f>
        <v>0</v>
      </c>
    </row>
    <row r="174" spans="1:8" ht="16.5" thickTop="1" thickBot="1">
      <c r="F174" s="719"/>
      <c r="G174" s="694"/>
      <c r="H174" s="706"/>
    </row>
    <row r="175" spans="1:8" ht="18" thickBot="1">
      <c r="A175" s="596" t="s">
        <v>41</v>
      </c>
      <c r="B175" s="597" t="s">
        <v>666</v>
      </c>
      <c r="C175" s="598"/>
      <c r="D175" s="599"/>
      <c r="E175" s="600"/>
      <c r="F175" s="720">
        <f>F43+F141+F173</f>
        <v>0</v>
      </c>
      <c r="G175" s="721">
        <f>G43+G141+G173</f>
        <v>0</v>
      </c>
      <c r="H175" s="722">
        <f>H43+H141+H173</f>
        <v>0</v>
      </c>
    </row>
  </sheetData>
  <sheetProtection algorithmName="SHA-512" hashValue="GAIwDqUtIb33o9fdCO07ar8zglpZ0xG877xNkytUY/JaYGeyuP9Gj8uoJ5wLXpKnrolme5VsTdoeVYkIoe6HYg==" saltValue="lrjkmu0iUzVS5t0U+fuZ/w==" spinCount="100000" sheet="1" objects="1" scenarios="1" selectLockedCells="1"/>
  <customSheetViews>
    <customSheetView guid="{14FA32B8-8DA0-4B39-A6E2-254F8891DDCC}" showPageBreaks="1" printArea="1" view="pageBreakPreview" topLeftCell="A106">
      <selection activeCell="H167" sqref="H167"/>
      <rowBreaks count="3" manualBreakCount="3">
        <brk id="44" max="7" man="1"/>
        <brk id="84" max="7" man="1"/>
        <brk id="133" max="7" man="1"/>
      </rowBreaks>
      <colBreaks count="1" manualBreakCount="1">
        <brk id="8" max="1048575" man="1"/>
      </colBreaks>
      <pageMargins left="0.7" right="0.7" top="0.75" bottom="0.75" header="0.3" footer="0.3"/>
      <pageSetup paperSize="9" scale="58"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53" orientation="portrait" r:id="rId2"/>
  <headerFooter>
    <oddHeader>&amp;CUREDITEV RAFUTSKEGA PARKA Z LAŠČAKOVO VILO - Park&amp;RLUZ, d.d.</oddHeader>
    <oddFooter>&amp;C&amp;P</oddFooter>
  </headerFooter>
  <rowBreaks count="3" manualBreakCount="3">
    <brk id="44" max="7" man="1"/>
    <brk id="92" max="7" man="1"/>
    <brk id="141"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59999389629810485"/>
  </sheetPr>
  <dimension ref="A1:AS383"/>
  <sheetViews>
    <sheetView view="pageBreakPreview" zoomScale="80" zoomScaleNormal="100" zoomScaleSheetLayoutView="80" workbookViewId="0">
      <pane ySplit="6" topLeftCell="A305" activePane="bottomLeft" state="frozen"/>
      <selection pane="bottomLeft" activeCell="H1" sqref="H1"/>
    </sheetView>
  </sheetViews>
  <sheetFormatPr defaultRowHeight="15"/>
  <cols>
    <col min="1" max="1" width="10.42578125" style="68" bestFit="1" customWidth="1"/>
    <col min="2" max="2" width="75.5703125" style="69" customWidth="1"/>
    <col min="3" max="3" width="6.42578125" style="65" bestFit="1" customWidth="1"/>
    <col min="4" max="4" width="9.42578125" style="66" bestFit="1" customWidth="1"/>
    <col min="5" max="5" width="11" style="67" bestFit="1" customWidth="1"/>
    <col min="6" max="6" width="13.7109375" style="70" bestFit="1" customWidth="1"/>
    <col min="7" max="8" width="13.7109375" style="400" customWidth="1"/>
    <col min="10" max="10" width="63.42578125" style="209" customWidth="1"/>
  </cols>
  <sheetData>
    <row r="1" spans="1:45">
      <c r="A1" s="1355" t="str">
        <f>Info!B1</f>
        <v>UREDITEV RAFUTSKEGA PARKA Z LAŠČAKOVO VILO - Park</v>
      </c>
      <c r="B1" s="1356"/>
      <c r="C1" s="1356"/>
      <c r="D1" s="1356"/>
      <c r="E1" s="1356"/>
      <c r="F1" s="1357"/>
      <c r="G1" s="393"/>
      <c r="H1" s="393"/>
    </row>
    <row r="2" spans="1:45" ht="15.75" thickBot="1">
      <c r="A2" s="1358"/>
      <c r="B2" s="1359"/>
      <c r="C2" s="1359"/>
      <c r="D2" s="1359"/>
      <c r="E2" s="1359"/>
      <c r="F2" s="1360"/>
      <c r="G2" s="393"/>
      <c r="H2" s="393"/>
    </row>
    <row r="3" spans="1:45" ht="15.75" thickBot="1">
      <c r="A3" s="1361"/>
      <c r="B3" s="1362"/>
      <c r="C3" s="5"/>
      <c r="D3" s="6"/>
      <c r="E3" s="7"/>
      <c r="F3" s="8"/>
      <c r="G3" s="394"/>
      <c r="H3" s="394"/>
    </row>
    <row r="4" spans="1:45" ht="18" thickBot="1">
      <c r="A4" s="1366" t="s">
        <v>729</v>
      </c>
      <c r="B4" s="1367"/>
      <c r="C4" s="1367"/>
      <c r="D4" s="1367"/>
      <c r="E4" s="1367"/>
      <c r="F4" s="1368"/>
      <c r="G4" s="395"/>
      <c r="H4" s="395"/>
    </row>
    <row r="5" spans="1:45">
      <c r="A5" s="10"/>
      <c r="B5" s="11"/>
      <c r="C5" s="12"/>
      <c r="D5" s="12"/>
      <c r="E5" s="13"/>
      <c r="F5" s="13"/>
      <c r="G5" s="396"/>
      <c r="H5" s="396"/>
    </row>
    <row r="6" spans="1:45" ht="85.5">
      <c r="A6" s="14" t="s">
        <v>1</v>
      </c>
      <c r="B6" s="15" t="s">
        <v>2</v>
      </c>
      <c r="C6" s="16" t="s">
        <v>4</v>
      </c>
      <c r="D6" s="17" t="s">
        <v>9</v>
      </c>
      <c r="E6" s="18" t="s">
        <v>5</v>
      </c>
      <c r="F6" s="452" t="s">
        <v>1613</v>
      </c>
      <c r="G6" s="452"/>
      <c r="H6" s="452"/>
    </row>
    <row r="7" spans="1:45" ht="15.75" thickBot="1">
      <c r="A7" s="19"/>
      <c r="B7" s="20"/>
      <c r="C7" s="21"/>
      <c r="D7" s="22"/>
      <c r="E7" s="23"/>
      <c r="F7" s="24"/>
      <c r="G7" s="24"/>
      <c r="H7" s="24"/>
    </row>
    <row r="8" spans="1:45" ht="18" thickBot="1">
      <c r="A8" s="440" t="s">
        <v>49</v>
      </c>
      <c r="B8" s="441" t="s">
        <v>667</v>
      </c>
      <c r="C8" s="442"/>
      <c r="D8" s="60"/>
      <c r="E8" s="26"/>
      <c r="F8" s="449"/>
      <c r="G8" s="519"/>
      <c r="H8" s="519"/>
      <c r="K8" s="145"/>
    </row>
    <row r="9" spans="1:45">
      <c r="A9" s="443"/>
      <c r="B9" s="444"/>
      <c r="C9" s="445"/>
      <c r="D9" s="30"/>
      <c r="E9" s="31"/>
      <c r="F9" s="450"/>
      <c r="G9" s="397"/>
      <c r="H9" s="397"/>
    </row>
    <row r="10" spans="1:45">
      <c r="A10" s="227" t="s">
        <v>66</v>
      </c>
      <c r="B10" s="218" t="s">
        <v>46</v>
      </c>
      <c r="C10" s="228"/>
      <c r="D10" s="229"/>
      <c r="E10" s="230"/>
      <c r="F10" s="231"/>
      <c r="G10" s="397"/>
      <c r="H10" s="397"/>
    </row>
    <row r="11" spans="1:45">
      <c r="A11" s="227"/>
      <c r="B11" s="218"/>
      <c r="C11" s="228"/>
      <c r="D11" s="229"/>
      <c r="E11" s="230"/>
      <c r="F11" s="231"/>
      <c r="G11" s="397"/>
      <c r="H11" s="397"/>
    </row>
    <row r="12" spans="1:45">
      <c r="A12" s="227"/>
      <c r="B12" s="218" t="s">
        <v>735</v>
      </c>
      <c r="C12" s="228"/>
      <c r="D12" s="229"/>
      <c r="E12" s="230"/>
      <c r="F12" s="231"/>
      <c r="G12" s="397"/>
      <c r="H12" s="397"/>
    </row>
    <row r="13" spans="1:45">
      <c r="A13" s="232" t="s">
        <v>730</v>
      </c>
      <c r="B13" s="233" t="s">
        <v>1093</v>
      </c>
      <c r="C13" s="254" t="s">
        <v>72</v>
      </c>
      <c r="D13" s="255">
        <v>1</v>
      </c>
      <c r="E13" s="679"/>
      <c r="F13" s="234">
        <f>(D13*E13)</f>
        <v>0</v>
      </c>
      <c r="G13" s="398"/>
      <c r="H13" s="398"/>
    </row>
    <row r="14" spans="1:45">
      <c r="A14" s="232"/>
      <c r="B14" s="249"/>
      <c r="C14" s="247"/>
      <c r="D14" s="248"/>
      <c r="E14" s="54"/>
      <c r="F14" s="231"/>
      <c r="G14" s="397"/>
      <c r="H14" s="397"/>
    </row>
    <row r="15" spans="1:45" s="55" customFormat="1" ht="14.25">
      <c r="A15" s="227"/>
      <c r="B15" s="218" t="s">
        <v>55</v>
      </c>
      <c r="C15" s="228"/>
      <c r="D15" s="229"/>
      <c r="E15" s="230"/>
      <c r="F15" s="231"/>
      <c r="G15" s="397"/>
      <c r="H15" s="397"/>
      <c r="I15" s="9"/>
      <c r="J15" s="210"/>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s="250" customFormat="1" ht="28.5">
      <c r="A16" s="253" t="s">
        <v>1194</v>
      </c>
      <c r="B16" s="233" t="s">
        <v>1197</v>
      </c>
      <c r="C16" s="254" t="s">
        <v>40</v>
      </c>
      <c r="D16" s="255">
        <v>85</v>
      </c>
      <c r="E16" s="679"/>
      <c r="F16" s="234">
        <f t="shared" ref="F16" si="0">(D16*E16)</f>
        <v>0</v>
      </c>
      <c r="G16" s="398"/>
      <c r="H16" s="398"/>
      <c r="I16" s="226"/>
      <c r="J16" s="210"/>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row>
    <row r="17" spans="1:45" s="55" customFormat="1" ht="14.25">
      <c r="A17" s="227"/>
      <c r="B17" s="213"/>
      <c r="C17" s="228"/>
      <c r="D17" s="229"/>
      <c r="E17" s="230"/>
      <c r="F17" s="262"/>
      <c r="G17" s="397"/>
      <c r="H17" s="397"/>
      <c r="I17" s="9"/>
      <c r="J17" s="224"/>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s="55" customFormat="1" ht="58.5" customHeight="1">
      <c r="A18" s="253" t="s">
        <v>731</v>
      </c>
      <c r="B18" s="252" t="s">
        <v>339</v>
      </c>
      <c r="C18" s="254" t="s">
        <v>40</v>
      </c>
      <c r="D18" s="255">
        <v>4</v>
      </c>
      <c r="E18" s="679"/>
      <c r="F18" s="251">
        <f>+D18*E18</f>
        <v>0</v>
      </c>
      <c r="G18" s="398"/>
      <c r="H18" s="398"/>
      <c r="I18" s="9"/>
      <c r="J18" s="224"/>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s="55" customFormat="1" ht="14.25">
      <c r="A19" s="232"/>
      <c r="B19" s="252"/>
      <c r="C19" s="254"/>
      <c r="D19" s="255"/>
      <c r="E19" s="256"/>
      <c r="F19" s="251"/>
      <c r="G19" s="398"/>
      <c r="H19" s="398"/>
      <c r="I19" s="9"/>
      <c r="J19" s="224"/>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s="55" customFormat="1" ht="60" customHeight="1">
      <c r="A20" s="232" t="s">
        <v>732</v>
      </c>
      <c r="B20" s="252" t="s">
        <v>1151</v>
      </c>
      <c r="C20" s="254" t="s">
        <v>40</v>
      </c>
      <c r="D20" s="255">
        <v>22</v>
      </c>
      <c r="E20" s="679"/>
      <c r="F20" s="251">
        <f t="shared" ref="F20" si="1">+D20*E20</f>
        <v>0</v>
      </c>
      <c r="G20" s="398"/>
      <c r="H20" s="398"/>
      <c r="I20" s="9"/>
      <c r="J20" s="224"/>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s="55" customFormat="1" ht="14.25">
      <c r="A21" s="232"/>
      <c r="B21" s="252"/>
      <c r="C21" s="254"/>
      <c r="D21" s="255"/>
      <c r="E21" s="256"/>
      <c r="F21" s="251"/>
      <c r="G21" s="398"/>
      <c r="H21" s="398"/>
      <c r="I21" s="9"/>
      <c r="J21" s="224"/>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s="55" customFormat="1" ht="28.5">
      <c r="A22" s="253" t="s">
        <v>733</v>
      </c>
      <c r="B22" s="252" t="s">
        <v>1152</v>
      </c>
      <c r="C22" s="254" t="s">
        <v>40</v>
      </c>
      <c r="D22" s="255">
        <v>55</v>
      </c>
      <c r="E22" s="679"/>
      <c r="F22" s="251">
        <f t="shared" ref="F22" si="2">+D22*E22</f>
        <v>0</v>
      </c>
      <c r="G22" s="398"/>
      <c r="H22" s="398"/>
      <c r="I22" s="9"/>
      <c r="J22" s="210"/>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s="55" customFormat="1" ht="14.25">
      <c r="A23" s="232"/>
      <c r="B23" s="252"/>
      <c r="C23" s="257"/>
      <c r="D23" s="258"/>
      <c r="E23" s="259"/>
      <c r="F23" s="251"/>
      <c r="G23" s="398"/>
      <c r="H23" s="398"/>
      <c r="I23" s="9"/>
      <c r="J23" s="210"/>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1:45">
      <c r="A24" s="232" t="s">
        <v>734</v>
      </c>
      <c r="B24" s="252" t="s">
        <v>78</v>
      </c>
      <c r="C24" s="257" t="s">
        <v>11</v>
      </c>
      <c r="D24" s="258">
        <v>181</v>
      </c>
      <c r="E24" s="678"/>
      <c r="F24" s="234">
        <f>+D24*E24</f>
        <v>0</v>
      </c>
      <c r="G24" s="398"/>
      <c r="H24" s="398"/>
    </row>
    <row r="25" spans="1:45" s="250" customFormat="1" ht="14.25">
      <c r="A25" s="253"/>
      <c r="B25" s="252"/>
      <c r="C25" s="257"/>
      <c r="D25" s="258"/>
      <c r="E25" s="259"/>
      <c r="F25" s="234"/>
      <c r="G25" s="398"/>
      <c r="H25" s="398"/>
      <c r="I25" s="226"/>
      <c r="J25" s="210"/>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row>
    <row r="26" spans="1:45">
      <c r="A26" s="227"/>
      <c r="B26" s="271" t="s">
        <v>1112</v>
      </c>
      <c r="C26" s="228"/>
      <c r="D26" s="229"/>
      <c r="E26" s="230"/>
      <c r="F26" s="231"/>
      <c r="G26" s="397"/>
      <c r="H26" s="397"/>
      <c r="J26"/>
    </row>
    <row r="27" spans="1:45">
      <c r="A27" s="266" t="s">
        <v>736</v>
      </c>
      <c r="B27" s="233" t="s">
        <v>1093</v>
      </c>
      <c r="C27" s="254" t="s">
        <v>72</v>
      </c>
      <c r="D27" s="255">
        <v>1</v>
      </c>
      <c r="E27" s="679"/>
      <c r="F27" s="234">
        <f>(D27*E27)</f>
        <v>0</v>
      </c>
      <c r="G27" s="398"/>
      <c r="H27" s="398"/>
      <c r="J27"/>
    </row>
    <row r="28" spans="1:45">
      <c r="A28" s="227"/>
      <c r="B28" s="218"/>
      <c r="C28" s="228"/>
      <c r="D28" s="229"/>
      <c r="E28" s="230"/>
      <c r="F28" s="231"/>
      <c r="G28" s="397"/>
      <c r="H28" s="397"/>
      <c r="J28"/>
    </row>
    <row r="29" spans="1:45" ht="28.5">
      <c r="A29" s="266" t="s">
        <v>1199</v>
      </c>
      <c r="B29" s="233" t="s">
        <v>1197</v>
      </c>
      <c r="C29" s="254" t="s">
        <v>40</v>
      </c>
      <c r="D29" s="255">
        <v>22</v>
      </c>
      <c r="E29" s="679"/>
      <c r="F29" s="234">
        <f>(D29*E29)</f>
        <v>0</v>
      </c>
      <c r="G29" s="398"/>
      <c r="H29" s="398"/>
      <c r="J29"/>
    </row>
    <row r="30" spans="1:45" s="225" customFormat="1">
      <c r="A30" s="232"/>
      <c r="B30" s="233"/>
      <c r="C30" s="254"/>
      <c r="D30" s="255"/>
      <c r="E30" s="256"/>
      <c r="F30" s="234"/>
      <c r="G30" s="398"/>
      <c r="H30" s="398"/>
    </row>
    <row r="31" spans="1:45" s="225" customFormat="1" ht="28.5">
      <c r="A31" s="266" t="s">
        <v>1200</v>
      </c>
      <c r="B31" s="233" t="s">
        <v>1301</v>
      </c>
      <c r="C31" s="254" t="s">
        <v>40</v>
      </c>
      <c r="D31" s="255">
        <v>0.09</v>
      </c>
      <c r="E31" s="679"/>
      <c r="F31" s="234">
        <f t="shared" ref="F31" si="3">(D31*E31)</f>
        <v>0</v>
      </c>
      <c r="G31" s="398"/>
      <c r="H31" s="398"/>
    </row>
    <row r="32" spans="1:45" s="225" customFormat="1">
      <c r="A32" s="227"/>
      <c r="B32" s="233"/>
      <c r="C32" s="254"/>
      <c r="D32" s="255"/>
      <c r="E32" s="256"/>
      <c r="F32" s="234"/>
      <c r="G32" s="398"/>
      <c r="H32" s="398"/>
    </row>
    <row r="33" spans="1:8" s="225" customFormat="1">
      <c r="A33" s="266" t="s">
        <v>1201</v>
      </c>
      <c r="B33" s="233" t="s">
        <v>1302</v>
      </c>
      <c r="C33" s="254" t="s">
        <v>40</v>
      </c>
      <c r="D33" s="255">
        <v>0.28000000000000003</v>
      </c>
      <c r="E33" s="679"/>
      <c r="F33" s="234">
        <f t="shared" ref="F33" si="4">(D33*E33)</f>
        <v>0</v>
      </c>
      <c r="G33" s="398"/>
      <c r="H33" s="398"/>
    </row>
    <row r="34" spans="1:8" s="225" customFormat="1">
      <c r="A34" s="232"/>
      <c r="B34" s="233"/>
      <c r="C34" s="254"/>
      <c r="D34" s="255"/>
      <c r="E34" s="256"/>
      <c r="F34" s="234"/>
      <c r="G34" s="398"/>
      <c r="H34" s="398"/>
    </row>
    <row r="35" spans="1:8" s="225" customFormat="1" ht="28.5">
      <c r="A35" s="266" t="s">
        <v>1202</v>
      </c>
      <c r="B35" s="233" t="s">
        <v>1303</v>
      </c>
      <c r="C35" s="254" t="s">
        <v>40</v>
      </c>
      <c r="D35" s="255">
        <v>0.28000000000000003</v>
      </c>
      <c r="E35" s="679"/>
      <c r="F35" s="234">
        <f t="shared" ref="F35" si="5">(D35*E35)</f>
        <v>0</v>
      </c>
      <c r="G35" s="398"/>
      <c r="H35" s="398"/>
    </row>
    <row r="36" spans="1:8" s="225" customFormat="1">
      <c r="A36" s="227"/>
      <c r="B36" s="233"/>
      <c r="C36" s="254"/>
      <c r="D36" s="255"/>
      <c r="E36" s="256"/>
      <c r="F36" s="234"/>
      <c r="G36" s="398"/>
      <c r="H36" s="398"/>
    </row>
    <row r="37" spans="1:8" s="225" customFormat="1">
      <c r="A37" s="266" t="s">
        <v>1203</v>
      </c>
      <c r="B37" s="233" t="s">
        <v>1304</v>
      </c>
      <c r="C37" s="254" t="s">
        <v>40</v>
      </c>
      <c r="D37" s="255">
        <v>15.21</v>
      </c>
      <c r="E37" s="679"/>
      <c r="F37" s="234">
        <f t="shared" ref="F37" si="6">(D37*E37)</f>
        <v>0</v>
      </c>
      <c r="G37" s="398"/>
      <c r="H37" s="398"/>
    </row>
    <row r="38" spans="1:8" s="225" customFormat="1">
      <c r="A38" s="232"/>
      <c r="B38" s="233"/>
      <c r="C38" s="254"/>
      <c r="D38" s="255"/>
      <c r="E38" s="256"/>
      <c r="F38" s="234"/>
      <c r="G38" s="398"/>
      <c r="H38" s="398"/>
    </row>
    <row r="39" spans="1:8" s="225" customFormat="1" ht="28.5">
      <c r="A39" s="266" t="s">
        <v>1204</v>
      </c>
      <c r="B39" s="233" t="s">
        <v>1305</v>
      </c>
      <c r="C39" s="254" t="s">
        <v>40</v>
      </c>
      <c r="D39" s="255">
        <v>4.26</v>
      </c>
      <c r="E39" s="679"/>
      <c r="F39" s="234">
        <f t="shared" ref="F39" si="7">(D39*E39)</f>
        <v>0</v>
      </c>
      <c r="G39" s="398"/>
      <c r="H39" s="398"/>
    </row>
    <row r="40" spans="1:8" s="225" customFormat="1">
      <c r="A40" s="227"/>
      <c r="B40" s="233"/>
      <c r="C40" s="254"/>
      <c r="D40" s="255"/>
      <c r="E40" s="256"/>
      <c r="F40" s="234"/>
      <c r="G40" s="398"/>
      <c r="H40" s="398"/>
    </row>
    <row r="41" spans="1:8" s="225" customFormat="1">
      <c r="A41" s="266" t="s">
        <v>1205</v>
      </c>
      <c r="B41" s="233" t="s">
        <v>1306</v>
      </c>
      <c r="C41" s="254" t="s">
        <v>11</v>
      </c>
      <c r="D41" s="255">
        <v>0.96</v>
      </c>
      <c r="E41" s="679"/>
      <c r="F41" s="234">
        <f t="shared" ref="F41" si="8">(D41*E41)</f>
        <v>0</v>
      </c>
      <c r="G41" s="398"/>
      <c r="H41" s="398"/>
    </row>
    <row r="42" spans="1:8" s="225" customFormat="1">
      <c r="A42" s="232"/>
      <c r="B42" s="233"/>
      <c r="C42" s="254"/>
      <c r="D42" s="255"/>
      <c r="E42" s="256"/>
      <c r="F42" s="234"/>
      <c r="G42" s="398"/>
      <c r="H42" s="398"/>
    </row>
    <row r="43" spans="1:8" s="225" customFormat="1">
      <c r="A43" s="266" t="s">
        <v>1206</v>
      </c>
      <c r="B43" s="233" t="s">
        <v>1307</v>
      </c>
      <c r="C43" s="254" t="s">
        <v>11</v>
      </c>
      <c r="D43" s="255">
        <v>19.45</v>
      </c>
      <c r="E43" s="679"/>
      <c r="F43" s="234">
        <f t="shared" ref="F43" si="9">(D43*E43)</f>
        <v>0</v>
      </c>
      <c r="G43" s="398"/>
      <c r="H43" s="398"/>
    </row>
    <row r="44" spans="1:8" s="225" customFormat="1">
      <c r="A44" s="227"/>
      <c r="B44" s="233"/>
      <c r="C44" s="254"/>
      <c r="D44" s="255"/>
      <c r="E44" s="256"/>
      <c r="F44" s="234"/>
      <c r="G44" s="398"/>
      <c r="H44" s="398"/>
    </row>
    <row r="45" spans="1:8" s="225" customFormat="1" ht="43.5" customHeight="1">
      <c r="A45" s="266" t="s">
        <v>1207</v>
      </c>
      <c r="B45" s="233" t="s">
        <v>1308</v>
      </c>
      <c r="C45" s="254" t="s">
        <v>11</v>
      </c>
      <c r="D45" s="255">
        <v>5.6</v>
      </c>
      <c r="E45" s="679"/>
      <c r="F45" s="234">
        <f t="shared" ref="F45" si="10">(D45*E45)</f>
        <v>0</v>
      </c>
      <c r="G45" s="398"/>
      <c r="H45" s="398"/>
    </row>
    <row r="46" spans="1:8" s="225" customFormat="1">
      <c r="A46" s="232"/>
      <c r="B46" s="233"/>
      <c r="C46" s="254"/>
      <c r="D46" s="255"/>
      <c r="E46" s="256"/>
      <c r="F46" s="234"/>
      <c r="G46" s="398"/>
      <c r="H46" s="398"/>
    </row>
    <row r="47" spans="1:8" s="225" customFormat="1" ht="44.25" customHeight="1">
      <c r="A47" s="266" t="s">
        <v>1208</v>
      </c>
      <c r="B47" s="233" t="s">
        <v>1309</v>
      </c>
      <c r="C47" s="254" t="s">
        <v>11</v>
      </c>
      <c r="D47" s="255">
        <v>0.88</v>
      </c>
      <c r="E47" s="679"/>
      <c r="F47" s="234">
        <f t="shared" ref="F47" si="11">(D47*E47)</f>
        <v>0</v>
      </c>
      <c r="G47" s="398"/>
      <c r="H47" s="398"/>
    </row>
    <row r="48" spans="1:8" s="225" customFormat="1">
      <c r="A48" s="227"/>
      <c r="B48" s="233"/>
      <c r="C48" s="254"/>
      <c r="D48" s="255"/>
      <c r="E48" s="256"/>
      <c r="F48" s="234"/>
      <c r="G48" s="398"/>
      <c r="H48" s="398"/>
    </row>
    <row r="49" spans="1:45" s="225" customFormat="1">
      <c r="A49" s="266" t="s">
        <v>1209</v>
      </c>
      <c r="B49" s="233" t="s">
        <v>1648</v>
      </c>
      <c r="C49" s="254" t="s">
        <v>71</v>
      </c>
      <c r="D49" s="255">
        <v>669.44</v>
      </c>
      <c r="E49" s="679"/>
      <c r="F49" s="234">
        <f t="shared" ref="F49" si="12">(D49*E49)</f>
        <v>0</v>
      </c>
      <c r="G49" s="398"/>
      <c r="H49" s="398"/>
    </row>
    <row r="50" spans="1:45" s="225" customFormat="1">
      <c r="A50" s="232"/>
      <c r="B50" s="233"/>
      <c r="C50" s="254"/>
      <c r="D50" s="255"/>
      <c r="E50" s="256"/>
      <c r="F50" s="234"/>
      <c r="G50" s="398"/>
      <c r="H50" s="398"/>
    </row>
    <row r="51" spans="1:45" s="225" customFormat="1">
      <c r="A51" s="266" t="s">
        <v>1210</v>
      </c>
      <c r="B51" s="233" t="s">
        <v>1247</v>
      </c>
      <c r="C51" s="254" t="s">
        <v>71</v>
      </c>
      <c r="D51" s="255">
        <v>360.11</v>
      </c>
      <c r="E51" s="679"/>
      <c r="F51" s="234">
        <f t="shared" ref="F51" si="13">(D51*E51)</f>
        <v>0</v>
      </c>
      <c r="G51" s="398"/>
      <c r="H51" s="398"/>
    </row>
    <row r="52" spans="1:45" s="225" customFormat="1">
      <c r="A52" s="227"/>
      <c r="B52" s="233"/>
      <c r="C52" s="254"/>
      <c r="D52" s="255"/>
      <c r="E52" s="256"/>
      <c r="F52" s="234"/>
      <c r="G52" s="398"/>
      <c r="H52" s="398"/>
    </row>
    <row r="53" spans="1:45" ht="73.5" customHeight="1">
      <c r="A53" s="266" t="s">
        <v>1211</v>
      </c>
      <c r="B53" s="233" t="s">
        <v>1566</v>
      </c>
      <c r="C53" s="254" t="s">
        <v>72</v>
      </c>
      <c r="D53" s="255">
        <v>1</v>
      </c>
      <c r="E53" s="679"/>
      <c r="F53" s="234">
        <f>(D53*E53)</f>
        <v>0</v>
      </c>
      <c r="G53" s="398"/>
      <c r="H53" s="398"/>
      <c r="I53" s="265"/>
      <c r="J53" s="212"/>
    </row>
    <row r="54" spans="1:45">
      <c r="A54" s="232"/>
      <c r="B54" s="252"/>
      <c r="C54" s="257"/>
      <c r="D54" s="258"/>
      <c r="E54" s="259"/>
      <c r="F54" s="251"/>
      <c r="G54" s="398"/>
      <c r="H54" s="398"/>
      <c r="J54"/>
    </row>
    <row r="55" spans="1:45" ht="144.75" customHeight="1">
      <c r="A55" s="266" t="s">
        <v>1212</v>
      </c>
      <c r="B55" s="252" t="s">
        <v>1167</v>
      </c>
      <c r="C55" s="254" t="s">
        <v>72</v>
      </c>
      <c r="D55" s="255">
        <v>1</v>
      </c>
      <c r="E55" s="678"/>
      <c r="F55" s="234">
        <f>(D55*E55)</f>
        <v>0</v>
      </c>
      <c r="G55" s="398"/>
      <c r="H55" s="398"/>
      <c r="I55" s="265"/>
      <c r="J55" s="272"/>
    </row>
    <row r="56" spans="1:45">
      <c r="A56" s="227"/>
      <c r="B56" s="252"/>
      <c r="C56" s="257"/>
      <c r="D56" s="258"/>
      <c r="E56" s="259"/>
      <c r="F56" s="251"/>
      <c r="G56" s="398"/>
      <c r="H56" s="398"/>
      <c r="J56"/>
    </row>
    <row r="57" spans="1:45" ht="92.25" customHeight="1">
      <c r="A57" s="266" t="s">
        <v>1213</v>
      </c>
      <c r="B57" s="252" t="s">
        <v>1585</v>
      </c>
      <c r="C57" s="257" t="s">
        <v>11</v>
      </c>
      <c r="D57" s="258">
        <v>68</v>
      </c>
      <c r="E57" s="678"/>
      <c r="F57" s="234">
        <f>(D57*E57)</f>
        <v>0</v>
      </c>
      <c r="G57" s="398"/>
      <c r="H57" s="398"/>
      <c r="J57" s="272"/>
    </row>
    <row r="58" spans="1:45">
      <c r="A58" s="232"/>
      <c r="B58" s="252"/>
      <c r="C58" s="257"/>
      <c r="D58" s="258"/>
      <c r="E58" s="259"/>
      <c r="F58" s="262"/>
      <c r="G58" s="397"/>
      <c r="H58" s="397"/>
      <c r="J58"/>
    </row>
    <row r="59" spans="1:45" s="55" customFormat="1" ht="28.5">
      <c r="A59" s="266" t="s">
        <v>1214</v>
      </c>
      <c r="B59" s="233" t="s">
        <v>82</v>
      </c>
      <c r="C59" s="254" t="s">
        <v>40</v>
      </c>
      <c r="D59" s="255">
        <v>5.5</v>
      </c>
      <c r="E59" s="679"/>
      <c r="F59" s="251">
        <f>+D59*E59</f>
        <v>0</v>
      </c>
      <c r="G59" s="398"/>
      <c r="H59" s="398"/>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row>
    <row r="60" spans="1:45" s="55" customFormat="1" ht="15.75" customHeight="1">
      <c r="A60" s="227"/>
      <c r="B60" s="252"/>
      <c r="C60" s="257"/>
      <c r="D60" s="258"/>
      <c r="E60" s="259"/>
      <c r="F60" s="251"/>
      <c r="G60" s="398"/>
      <c r="H60" s="398"/>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row>
    <row r="61" spans="1:45" s="55" customFormat="1" ht="14.25">
      <c r="A61" s="266" t="s">
        <v>1215</v>
      </c>
      <c r="B61" s="252" t="s">
        <v>78</v>
      </c>
      <c r="C61" s="257" t="s">
        <v>11</v>
      </c>
      <c r="D61" s="258">
        <v>21</v>
      </c>
      <c r="E61" s="678"/>
      <c r="F61" s="234">
        <f>+D61*E61</f>
        <v>0</v>
      </c>
      <c r="G61" s="398"/>
      <c r="H61" s="398"/>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row>
    <row r="62" spans="1:45" s="55" customFormat="1" ht="14.25">
      <c r="A62" s="232"/>
      <c r="B62" s="183"/>
      <c r="C62" s="184"/>
      <c r="D62" s="185"/>
      <c r="E62" s="186"/>
      <c r="F62" s="222"/>
      <c r="G62" s="398"/>
      <c r="H62" s="398"/>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row>
    <row r="63" spans="1:45" s="55" customFormat="1" ht="14.25">
      <c r="A63" s="266" t="s">
        <v>1216</v>
      </c>
      <c r="B63" s="183" t="s">
        <v>1127</v>
      </c>
      <c r="C63" s="184" t="s">
        <v>11</v>
      </c>
      <c r="D63" s="185">
        <v>50</v>
      </c>
      <c r="E63" s="724"/>
      <c r="F63" s="234">
        <f>+D63*E63</f>
        <v>0</v>
      </c>
      <c r="G63" s="398"/>
      <c r="H63" s="398"/>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row>
    <row r="64" spans="1:45">
      <c r="A64" s="443"/>
      <c r="B64" s="444"/>
      <c r="C64" s="445"/>
      <c r="D64" s="30"/>
      <c r="E64" s="31"/>
      <c r="F64" s="450"/>
      <c r="G64" s="397"/>
      <c r="H64" s="397"/>
      <c r="J64"/>
    </row>
    <row r="65" spans="1:10">
      <c r="A65" s="227"/>
      <c r="B65" s="218" t="s">
        <v>1113</v>
      </c>
      <c r="C65" s="228"/>
      <c r="D65" s="229"/>
      <c r="E65" s="230"/>
      <c r="F65" s="231"/>
      <c r="G65" s="397"/>
      <c r="H65" s="397"/>
      <c r="J65"/>
    </row>
    <row r="66" spans="1:10">
      <c r="A66" s="266" t="s">
        <v>1217</v>
      </c>
      <c r="B66" s="233" t="s">
        <v>1093</v>
      </c>
      <c r="C66" s="254" t="s">
        <v>72</v>
      </c>
      <c r="D66" s="255">
        <v>1</v>
      </c>
      <c r="E66" s="679"/>
      <c r="F66" s="234">
        <f>(D66*E66)</f>
        <v>0</v>
      </c>
      <c r="G66" s="398"/>
      <c r="H66" s="398"/>
      <c r="J66"/>
    </row>
    <row r="67" spans="1:10">
      <c r="A67" s="232"/>
      <c r="B67" s="233"/>
      <c r="C67" s="254"/>
      <c r="D67" s="255"/>
      <c r="E67" s="256"/>
      <c r="F67" s="234"/>
      <c r="G67" s="398"/>
      <c r="H67" s="398"/>
      <c r="J67"/>
    </row>
    <row r="68" spans="1:10" ht="45.75" customHeight="1">
      <c r="A68" s="266" t="s">
        <v>1311</v>
      </c>
      <c r="B68" s="233" t="s">
        <v>1197</v>
      </c>
      <c r="C68" s="254" t="s">
        <v>40</v>
      </c>
      <c r="D68" s="255">
        <v>10</v>
      </c>
      <c r="E68" s="679"/>
      <c r="F68" s="234">
        <f>(D68*E68)</f>
        <v>0</v>
      </c>
      <c r="G68" s="398"/>
      <c r="H68" s="398"/>
      <c r="J68"/>
    </row>
    <row r="69" spans="1:10" s="225" customFormat="1">
      <c r="A69" s="232"/>
      <c r="B69" s="233"/>
      <c r="C69" s="254"/>
      <c r="D69" s="255"/>
      <c r="E69" s="256"/>
      <c r="F69" s="234"/>
      <c r="G69" s="398"/>
      <c r="H69" s="398"/>
    </row>
    <row r="70" spans="1:10" s="225" customFormat="1" ht="28.5">
      <c r="A70" s="266" t="s">
        <v>1312</v>
      </c>
      <c r="B70" s="233" t="s">
        <v>1319</v>
      </c>
      <c r="C70" s="254" t="s">
        <v>40</v>
      </c>
      <c r="D70" s="255">
        <v>2.89</v>
      </c>
      <c r="E70" s="679"/>
      <c r="F70" s="234">
        <f t="shared" ref="F70" si="14">(D70*E70)</f>
        <v>0</v>
      </c>
      <c r="G70" s="398"/>
      <c r="H70" s="398"/>
    </row>
    <row r="71" spans="1:10" s="225" customFormat="1">
      <c r="A71" s="232"/>
      <c r="B71" s="233"/>
      <c r="C71" s="254"/>
      <c r="D71" s="255"/>
      <c r="E71" s="256"/>
      <c r="F71" s="234"/>
      <c r="G71" s="398"/>
      <c r="H71" s="398"/>
    </row>
    <row r="72" spans="1:10" s="225" customFormat="1" ht="28.5">
      <c r="A72" s="266" t="s">
        <v>1313</v>
      </c>
      <c r="B72" s="233" t="s">
        <v>1320</v>
      </c>
      <c r="C72" s="254" t="s">
        <v>40</v>
      </c>
      <c r="D72" s="255">
        <v>6.38</v>
      </c>
      <c r="E72" s="679"/>
      <c r="F72" s="234">
        <f t="shared" ref="F72" si="15">(D72*E72)</f>
        <v>0</v>
      </c>
      <c r="G72" s="398"/>
      <c r="H72" s="398"/>
    </row>
    <row r="73" spans="1:10" s="225" customFormat="1">
      <c r="A73" s="232"/>
      <c r="B73" s="233"/>
      <c r="C73" s="254"/>
      <c r="D73" s="255"/>
      <c r="E73" s="256"/>
      <c r="F73" s="234"/>
      <c r="G73" s="398"/>
      <c r="H73" s="398"/>
    </row>
    <row r="74" spans="1:10" s="225" customFormat="1">
      <c r="A74" s="266" t="s">
        <v>1314</v>
      </c>
      <c r="B74" s="233" t="s">
        <v>1321</v>
      </c>
      <c r="C74" s="254" t="s">
        <v>11</v>
      </c>
      <c r="D74" s="255">
        <v>11.384999999999998</v>
      </c>
      <c r="E74" s="679"/>
      <c r="F74" s="234">
        <f t="shared" ref="F74" si="16">(D74*E74)</f>
        <v>0</v>
      </c>
      <c r="G74" s="398"/>
      <c r="H74" s="398"/>
    </row>
    <row r="75" spans="1:10" s="225" customFormat="1">
      <c r="A75" s="232"/>
      <c r="B75" s="233"/>
      <c r="C75" s="254"/>
      <c r="D75" s="255"/>
      <c r="E75" s="256"/>
      <c r="F75" s="234"/>
      <c r="G75" s="398"/>
      <c r="H75" s="398"/>
    </row>
    <row r="76" spans="1:10" s="225" customFormat="1">
      <c r="A76" s="266" t="s">
        <v>1315</v>
      </c>
      <c r="B76" s="233" t="s">
        <v>1322</v>
      </c>
      <c r="C76" s="254" t="s">
        <v>11</v>
      </c>
      <c r="D76" s="255">
        <v>15.82</v>
      </c>
      <c r="E76" s="679"/>
      <c r="F76" s="234">
        <f t="shared" ref="F76" si="17">(D76*E76)</f>
        <v>0</v>
      </c>
      <c r="G76" s="398"/>
      <c r="H76" s="398"/>
    </row>
    <row r="77" spans="1:10" s="225" customFormat="1">
      <c r="A77" s="232"/>
      <c r="B77" s="233"/>
      <c r="C77" s="254"/>
      <c r="D77" s="255"/>
      <c r="E77" s="256"/>
      <c r="F77" s="234"/>
      <c r="G77" s="398"/>
      <c r="H77" s="398"/>
    </row>
    <row r="78" spans="1:10" s="225" customFormat="1">
      <c r="A78" s="266" t="s">
        <v>1316</v>
      </c>
      <c r="B78" s="233" t="s">
        <v>1323</v>
      </c>
      <c r="C78" s="254" t="s">
        <v>11</v>
      </c>
      <c r="D78" s="255">
        <v>6.12</v>
      </c>
      <c r="E78" s="679"/>
      <c r="F78" s="234">
        <f t="shared" ref="F78" si="18">(D78*E78)</f>
        <v>0</v>
      </c>
      <c r="G78" s="398"/>
      <c r="H78" s="398"/>
    </row>
    <row r="79" spans="1:10" s="225" customFormat="1">
      <c r="A79" s="232"/>
      <c r="B79" s="233"/>
      <c r="C79" s="254"/>
      <c r="D79" s="255"/>
      <c r="E79" s="256"/>
      <c r="F79" s="234"/>
      <c r="G79" s="398"/>
      <c r="H79" s="398"/>
    </row>
    <row r="80" spans="1:10" s="225" customFormat="1">
      <c r="A80" s="266" t="s">
        <v>1317</v>
      </c>
      <c r="B80" s="233" t="s">
        <v>1648</v>
      </c>
      <c r="C80" s="254" t="s">
        <v>71</v>
      </c>
      <c r="D80" s="255">
        <v>4637.3900000000003</v>
      </c>
      <c r="E80" s="679"/>
      <c r="F80" s="234">
        <f t="shared" ref="F80" si="19">(D80*E80)</f>
        <v>0</v>
      </c>
      <c r="G80" s="398"/>
      <c r="H80" s="398"/>
    </row>
    <row r="81" spans="1:45">
      <c r="A81" s="232"/>
      <c r="B81" s="252"/>
      <c r="C81" s="257"/>
      <c r="D81" s="258"/>
      <c r="E81" s="259"/>
      <c r="F81" s="251"/>
      <c r="G81" s="398"/>
      <c r="H81" s="398"/>
      <c r="J81"/>
    </row>
    <row r="82" spans="1:45" ht="102.75" customHeight="1">
      <c r="A82" s="266" t="s">
        <v>1318</v>
      </c>
      <c r="B82" s="252" t="s">
        <v>1165</v>
      </c>
      <c r="C82" s="254" t="s">
        <v>10</v>
      </c>
      <c r="D82" s="255">
        <v>85</v>
      </c>
      <c r="E82" s="678"/>
      <c r="F82" s="231">
        <f>(D82*E82)</f>
        <v>0</v>
      </c>
      <c r="G82" s="397"/>
      <c r="H82" s="397"/>
      <c r="J82" s="272"/>
    </row>
    <row r="83" spans="1:45">
      <c r="A83" s="232"/>
      <c r="B83" s="252"/>
      <c r="C83" s="257"/>
      <c r="D83" s="258"/>
      <c r="E83" s="259"/>
      <c r="F83" s="251"/>
      <c r="G83" s="398"/>
      <c r="H83" s="398"/>
      <c r="J83"/>
    </row>
    <row r="84" spans="1:45" ht="77.25" customHeight="1">
      <c r="A84" s="266" t="s">
        <v>1324</v>
      </c>
      <c r="B84" s="252" t="s">
        <v>1310</v>
      </c>
      <c r="C84" s="257" t="s">
        <v>40</v>
      </c>
      <c r="D84" s="258">
        <v>2</v>
      </c>
      <c r="E84" s="678"/>
      <c r="F84" s="231">
        <f>(D84*E84)</f>
        <v>0</v>
      </c>
      <c r="G84" s="397"/>
      <c r="H84" s="397"/>
      <c r="J84"/>
    </row>
    <row r="85" spans="1:45">
      <c r="A85" s="232"/>
      <c r="B85" s="252"/>
      <c r="C85" s="257"/>
      <c r="D85" s="258"/>
      <c r="E85" s="259"/>
      <c r="F85" s="262"/>
      <c r="G85" s="397"/>
      <c r="H85" s="397"/>
      <c r="J85"/>
    </row>
    <row r="86" spans="1:45" s="55" customFormat="1" ht="28.5">
      <c r="A86" s="266" t="s">
        <v>1325</v>
      </c>
      <c r="B86" s="233" t="s">
        <v>82</v>
      </c>
      <c r="C86" s="254" t="s">
        <v>40</v>
      </c>
      <c r="D86" s="255">
        <v>2.5</v>
      </c>
      <c r="E86" s="679"/>
      <c r="F86" s="251">
        <f>+D86*E86</f>
        <v>0</v>
      </c>
      <c r="G86" s="398"/>
      <c r="H86" s="398"/>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row>
    <row r="87" spans="1:45" s="55" customFormat="1" ht="15.75" customHeight="1">
      <c r="A87" s="232"/>
      <c r="B87" s="252"/>
      <c r="C87" s="257"/>
      <c r="D87" s="258"/>
      <c r="E87" s="259"/>
      <c r="F87" s="251"/>
      <c r="G87" s="398"/>
      <c r="H87" s="398"/>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row>
    <row r="88" spans="1:45" s="55" customFormat="1" ht="14.25">
      <c r="A88" s="266" t="s">
        <v>1326</v>
      </c>
      <c r="B88" s="233" t="s">
        <v>78</v>
      </c>
      <c r="C88" s="254" t="s">
        <v>11</v>
      </c>
      <c r="D88" s="255">
        <v>10</v>
      </c>
      <c r="E88" s="679"/>
      <c r="F88" s="251">
        <f>+D88*E88</f>
        <v>0</v>
      </c>
      <c r="G88" s="398"/>
      <c r="H88" s="398"/>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row>
    <row r="89" spans="1:45" s="55" customFormat="1" ht="14.25">
      <c r="A89" s="232"/>
      <c r="B89" s="233"/>
      <c r="C89" s="254"/>
      <c r="D89" s="255"/>
      <c r="E89" s="256"/>
      <c r="F89" s="251"/>
      <c r="G89" s="398"/>
      <c r="H89" s="398"/>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row>
    <row r="90" spans="1:45" s="55" customFormat="1" ht="14.25">
      <c r="A90" s="266" t="s">
        <v>1327</v>
      </c>
      <c r="B90" s="233" t="s">
        <v>1127</v>
      </c>
      <c r="C90" s="254" t="s">
        <v>11</v>
      </c>
      <c r="D90" s="255">
        <v>50</v>
      </c>
      <c r="E90" s="679"/>
      <c r="F90" s="251">
        <f>+D90*E90</f>
        <v>0</v>
      </c>
      <c r="G90" s="398"/>
      <c r="H90" s="398"/>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row>
    <row r="91" spans="1:45" ht="15.75" thickBot="1">
      <c r="A91" s="235"/>
      <c r="B91" s="236"/>
      <c r="C91" s="237"/>
      <c r="D91" s="238"/>
      <c r="E91" s="239"/>
      <c r="F91" s="240"/>
      <c r="G91" s="397"/>
      <c r="H91" s="397"/>
      <c r="I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row>
    <row r="92" spans="1:45" ht="16.5" thickTop="1" thickBot="1">
      <c r="A92" s="241" t="s">
        <v>66</v>
      </c>
      <c r="B92" s="242" t="s">
        <v>1132</v>
      </c>
      <c r="C92" s="243"/>
      <c r="D92" s="244"/>
      <c r="E92" s="245"/>
      <c r="F92" s="246">
        <f>SUM(F13:F91)</f>
        <v>0</v>
      </c>
      <c r="G92" s="399"/>
      <c r="H92" s="399"/>
      <c r="I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row>
    <row r="93" spans="1:45" ht="15.75" thickTop="1">
      <c r="A93" s="232"/>
      <c r="B93" s="252"/>
      <c r="C93" s="257"/>
      <c r="D93" s="258"/>
      <c r="E93" s="259"/>
      <c r="F93" s="251"/>
      <c r="G93" s="398"/>
      <c r="H93" s="398"/>
      <c r="I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row>
    <row r="94" spans="1:45" s="225" customFormat="1">
      <c r="A94" s="227" t="s">
        <v>467</v>
      </c>
      <c r="B94" s="218" t="s">
        <v>54</v>
      </c>
      <c r="C94" s="228"/>
      <c r="D94" s="229"/>
      <c r="E94" s="230"/>
      <c r="F94" s="231"/>
      <c r="G94" s="397"/>
      <c r="H94" s="397"/>
      <c r="J94" s="209"/>
    </row>
    <row r="95" spans="1:45">
      <c r="A95" s="267"/>
      <c r="B95" s="213"/>
      <c r="C95" s="268"/>
      <c r="D95" s="269"/>
      <c r="E95" s="270"/>
      <c r="F95" s="262"/>
      <c r="G95" s="397"/>
      <c r="H95" s="397"/>
      <c r="I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row>
    <row r="96" spans="1:45" s="250" customFormat="1" ht="14.25">
      <c r="A96" s="232" t="s">
        <v>738</v>
      </c>
      <c r="B96" s="233" t="s">
        <v>1093</v>
      </c>
      <c r="C96" s="254" t="s">
        <v>72</v>
      </c>
      <c r="D96" s="255">
        <v>1</v>
      </c>
      <c r="E96" s="679"/>
      <c r="F96" s="251">
        <f>(D96*E96)</f>
        <v>0</v>
      </c>
      <c r="G96" s="398"/>
      <c r="H96" s="398"/>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row>
    <row r="97" spans="1:45" s="250" customFormat="1" ht="14.25">
      <c r="A97" s="232"/>
      <c r="B97" s="233"/>
      <c r="C97" s="254"/>
      <c r="D97" s="255"/>
      <c r="E97" s="256"/>
      <c r="F97" s="251"/>
      <c r="G97" s="398"/>
      <c r="H97" s="398"/>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row>
    <row r="98" spans="1:45" s="250" customFormat="1" ht="46.5" customHeight="1">
      <c r="A98" s="232" t="s">
        <v>1338</v>
      </c>
      <c r="B98" s="233" t="s">
        <v>1197</v>
      </c>
      <c r="C98" s="254" t="s">
        <v>40</v>
      </c>
      <c r="D98" s="255">
        <v>59</v>
      </c>
      <c r="E98" s="679"/>
      <c r="F98" s="251">
        <f>(D98*E98)</f>
        <v>0</v>
      </c>
      <c r="G98" s="398"/>
      <c r="H98" s="398"/>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row>
    <row r="99" spans="1:45" s="225" customFormat="1">
      <c r="A99" s="267"/>
      <c r="B99" s="213"/>
      <c r="C99" s="268"/>
      <c r="D99" s="269"/>
      <c r="E99" s="270"/>
      <c r="F99" s="262"/>
      <c r="G99" s="397"/>
      <c r="H99" s="397"/>
      <c r="J99" s="209"/>
    </row>
    <row r="100" spans="1:45" s="250" customFormat="1" ht="28.5">
      <c r="A100" s="232" t="s">
        <v>739</v>
      </c>
      <c r="B100" s="233" t="s">
        <v>1328</v>
      </c>
      <c r="C100" s="254" t="s">
        <v>40</v>
      </c>
      <c r="D100" s="255">
        <v>1.08</v>
      </c>
      <c r="E100" s="679"/>
      <c r="F100" s="251">
        <f t="shared" ref="F100" si="20">(D100*E100)</f>
        <v>0</v>
      </c>
      <c r="G100" s="398"/>
      <c r="H100" s="398"/>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row>
    <row r="101" spans="1:45" s="250" customFormat="1" ht="14.25">
      <c r="A101" s="232"/>
      <c r="B101" s="233"/>
      <c r="C101" s="254"/>
      <c r="D101" s="255"/>
      <c r="E101" s="256"/>
      <c r="F101" s="251"/>
      <c r="G101" s="398"/>
      <c r="H101" s="398"/>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row>
    <row r="102" spans="1:45" s="250" customFormat="1" ht="14.25">
      <c r="A102" s="232" t="s">
        <v>1339</v>
      </c>
      <c r="B102" s="233" t="s">
        <v>1329</v>
      </c>
      <c r="C102" s="254" t="s">
        <v>40</v>
      </c>
      <c r="D102" s="255">
        <v>2.16</v>
      </c>
      <c r="E102" s="679"/>
      <c r="F102" s="251">
        <f t="shared" ref="F102" si="21">(D102*E102)</f>
        <v>0</v>
      </c>
      <c r="G102" s="398"/>
      <c r="H102" s="398"/>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row>
    <row r="103" spans="1:45" s="250" customFormat="1" ht="14.25">
      <c r="A103" s="267"/>
      <c r="B103" s="233"/>
      <c r="C103" s="254"/>
      <c r="D103" s="255"/>
      <c r="E103" s="256"/>
      <c r="F103" s="262"/>
      <c r="G103" s="397"/>
      <c r="H103" s="397"/>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row>
    <row r="104" spans="1:45" s="250" customFormat="1" ht="14.25">
      <c r="A104" s="232" t="s">
        <v>1340</v>
      </c>
      <c r="B104" s="233" t="s">
        <v>1330</v>
      </c>
      <c r="C104" s="254" t="s">
        <v>40</v>
      </c>
      <c r="D104" s="255">
        <v>6</v>
      </c>
      <c r="E104" s="679"/>
      <c r="F104" s="251">
        <f t="shared" ref="F104" si="22">(D104*E104)</f>
        <v>0</v>
      </c>
      <c r="G104" s="398"/>
      <c r="H104" s="398"/>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row>
    <row r="105" spans="1:45" s="250" customFormat="1" ht="14.25">
      <c r="A105" s="232"/>
      <c r="B105" s="233"/>
      <c r="C105" s="254"/>
      <c r="D105" s="255"/>
      <c r="E105" s="256"/>
      <c r="F105" s="251"/>
      <c r="G105" s="398"/>
      <c r="H105" s="398"/>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row>
    <row r="106" spans="1:45" s="250" customFormat="1" ht="14.25">
      <c r="A106" s="232" t="s">
        <v>1341</v>
      </c>
      <c r="B106" s="233" t="s">
        <v>1331</v>
      </c>
      <c r="C106" s="254" t="s">
        <v>40</v>
      </c>
      <c r="D106" s="255">
        <v>2.88</v>
      </c>
      <c r="E106" s="679"/>
      <c r="F106" s="251">
        <f t="shared" ref="F106" si="23">(D106*E106)</f>
        <v>0</v>
      </c>
      <c r="G106" s="398"/>
      <c r="H106" s="398"/>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row>
    <row r="107" spans="1:45" s="250" customFormat="1" ht="14.25">
      <c r="A107" s="267"/>
      <c r="B107" s="233"/>
      <c r="C107" s="254"/>
      <c r="D107" s="255"/>
      <c r="E107" s="256"/>
      <c r="F107" s="262"/>
      <c r="G107" s="397"/>
      <c r="H107" s="397"/>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row>
    <row r="108" spans="1:45" s="250" customFormat="1" ht="14.25">
      <c r="A108" s="232" t="s">
        <v>740</v>
      </c>
      <c r="B108" s="233" t="s">
        <v>1332</v>
      </c>
      <c r="C108" s="254" t="s">
        <v>40</v>
      </c>
      <c r="D108" s="255">
        <v>0.04</v>
      </c>
      <c r="E108" s="679"/>
      <c r="F108" s="251">
        <f t="shared" ref="F108" si="24">(D108*E108)</f>
        <v>0</v>
      </c>
      <c r="G108" s="398"/>
      <c r="H108" s="398"/>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row>
    <row r="109" spans="1:45" s="250" customFormat="1" ht="14.25">
      <c r="A109" s="232"/>
      <c r="B109" s="233"/>
      <c r="C109" s="254"/>
      <c r="D109" s="255"/>
      <c r="E109" s="256"/>
      <c r="F109" s="251"/>
      <c r="G109" s="398"/>
      <c r="H109" s="398"/>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row>
    <row r="110" spans="1:45" s="250" customFormat="1" ht="14.25">
      <c r="A110" s="232" t="s">
        <v>1342</v>
      </c>
      <c r="B110" s="233" t="s">
        <v>1333</v>
      </c>
      <c r="C110" s="254" t="s">
        <v>11</v>
      </c>
      <c r="D110" s="255">
        <v>3.45</v>
      </c>
      <c r="E110" s="679"/>
      <c r="F110" s="251">
        <f t="shared" ref="F110" si="25">(D110*E110)</f>
        <v>0</v>
      </c>
      <c r="G110" s="398"/>
      <c r="H110" s="398"/>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row>
    <row r="111" spans="1:45" s="250" customFormat="1" ht="14.25">
      <c r="A111" s="267"/>
      <c r="B111" s="233"/>
      <c r="C111" s="254"/>
      <c r="D111" s="255"/>
      <c r="E111" s="256"/>
      <c r="F111" s="262"/>
      <c r="G111" s="397"/>
      <c r="H111" s="397"/>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row>
    <row r="112" spans="1:45" s="250" customFormat="1" ht="28.5">
      <c r="A112" s="232" t="s">
        <v>1343</v>
      </c>
      <c r="B112" s="233" t="s">
        <v>1334</v>
      </c>
      <c r="C112" s="254" t="s">
        <v>11</v>
      </c>
      <c r="D112" s="255">
        <v>60</v>
      </c>
      <c r="E112" s="679"/>
      <c r="F112" s="251">
        <f t="shared" ref="F112" si="26">(D112*E112)</f>
        <v>0</v>
      </c>
      <c r="G112" s="398"/>
      <c r="H112" s="398"/>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row>
    <row r="113" spans="1:45" s="250" customFormat="1" ht="14.25">
      <c r="A113" s="232"/>
      <c r="B113" s="233"/>
      <c r="C113" s="254"/>
      <c r="D113" s="255"/>
      <c r="E113" s="256"/>
      <c r="F113" s="251"/>
      <c r="G113" s="398"/>
      <c r="H113" s="398"/>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row>
    <row r="114" spans="1:45" s="250" customFormat="1" ht="14.25">
      <c r="A114" s="232" t="s">
        <v>741</v>
      </c>
      <c r="B114" s="233" t="s">
        <v>1335</v>
      </c>
      <c r="C114" s="254" t="s">
        <v>11</v>
      </c>
      <c r="D114" s="255">
        <v>15.4</v>
      </c>
      <c r="E114" s="679"/>
      <c r="F114" s="251">
        <f t="shared" ref="F114" si="27">(D114*E114)</f>
        <v>0</v>
      </c>
      <c r="G114" s="398"/>
      <c r="H114" s="398"/>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row>
    <row r="115" spans="1:45" s="250" customFormat="1" ht="14.25">
      <c r="A115" s="267"/>
      <c r="B115" s="233"/>
      <c r="C115" s="254"/>
      <c r="D115" s="255"/>
      <c r="E115" s="256"/>
      <c r="F115" s="262"/>
      <c r="G115" s="397"/>
      <c r="H115" s="397"/>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row>
    <row r="116" spans="1:45" s="250" customFormat="1" ht="14.25">
      <c r="A116" s="232" t="s">
        <v>1344</v>
      </c>
      <c r="B116" s="233" t="s">
        <v>1336</v>
      </c>
      <c r="C116" s="254" t="s">
        <v>11</v>
      </c>
      <c r="D116" s="255">
        <v>3.45</v>
      </c>
      <c r="E116" s="679"/>
      <c r="F116" s="251">
        <f t="shared" ref="F116" si="28">(D116*E116)</f>
        <v>0</v>
      </c>
      <c r="G116" s="398"/>
      <c r="H116" s="398"/>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row>
    <row r="117" spans="1:45" s="250" customFormat="1" ht="14.25">
      <c r="A117" s="232"/>
      <c r="B117" s="233"/>
      <c r="C117" s="254"/>
      <c r="D117" s="255"/>
      <c r="E117" s="256"/>
      <c r="F117" s="251"/>
      <c r="G117" s="398"/>
      <c r="H117" s="398"/>
      <c r="I117" s="226"/>
      <c r="J117" s="226" t="s">
        <v>107</v>
      </c>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row>
    <row r="118" spans="1:45" s="250" customFormat="1" ht="14.25">
      <c r="A118" s="232" t="s">
        <v>742</v>
      </c>
      <c r="B118" s="233" t="s">
        <v>1337</v>
      </c>
      <c r="C118" s="254" t="s">
        <v>11</v>
      </c>
      <c r="D118" s="255">
        <v>1.1299999999999999</v>
      </c>
      <c r="E118" s="679"/>
      <c r="F118" s="251">
        <f t="shared" ref="F118" si="29">(D118*E118)</f>
        <v>0</v>
      </c>
      <c r="G118" s="398"/>
      <c r="H118" s="398"/>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row>
    <row r="119" spans="1:45" s="250" customFormat="1" ht="14.25">
      <c r="A119" s="267"/>
      <c r="B119" s="233"/>
      <c r="C119" s="254"/>
      <c r="D119" s="255"/>
      <c r="E119" s="256"/>
      <c r="F119" s="262"/>
      <c r="G119" s="397"/>
      <c r="H119" s="397"/>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row>
    <row r="120" spans="1:45" s="250" customFormat="1">
      <c r="A120" s="232" t="s">
        <v>743</v>
      </c>
      <c r="B120" s="233" t="s">
        <v>1648</v>
      </c>
      <c r="C120" s="254" t="s">
        <v>71</v>
      </c>
      <c r="D120" s="255">
        <v>594</v>
      </c>
      <c r="E120" s="679"/>
      <c r="F120" s="251">
        <f t="shared" ref="F120" si="30">(D120*E120)</f>
        <v>0</v>
      </c>
      <c r="G120" s="398"/>
      <c r="H120" s="398"/>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row>
    <row r="121" spans="1:45" s="250" customFormat="1" ht="14.25">
      <c r="A121" s="232"/>
      <c r="B121" s="233"/>
      <c r="C121" s="254"/>
      <c r="D121" s="255"/>
      <c r="E121" s="256"/>
      <c r="F121" s="251"/>
      <c r="G121" s="398"/>
      <c r="H121" s="398"/>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row>
    <row r="122" spans="1:45" s="250" customFormat="1" ht="14.25">
      <c r="A122" s="232" t="s">
        <v>744</v>
      </c>
      <c r="B122" s="233" t="s">
        <v>1247</v>
      </c>
      <c r="C122" s="254" t="s">
        <v>71</v>
      </c>
      <c r="D122" s="255">
        <v>727.05</v>
      </c>
      <c r="E122" s="679"/>
      <c r="F122" s="251">
        <f t="shared" ref="F122:F126" si="31">(D122*E122)</f>
        <v>0</v>
      </c>
      <c r="G122" s="398"/>
      <c r="H122" s="398"/>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6"/>
      <c r="AN122" s="226"/>
      <c r="AO122" s="226"/>
      <c r="AP122" s="226"/>
      <c r="AQ122" s="226"/>
      <c r="AR122" s="226"/>
      <c r="AS122" s="226"/>
    </row>
    <row r="123" spans="1:45" s="250" customFormat="1" ht="14.25">
      <c r="A123" s="267"/>
      <c r="B123" s="252"/>
      <c r="C123" s="257"/>
      <c r="D123" s="258"/>
      <c r="E123" s="259"/>
      <c r="F123" s="251"/>
      <c r="G123" s="398"/>
      <c r="H123" s="398"/>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c r="AO123" s="226"/>
      <c r="AP123" s="226"/>
      <c r="AQ123" s="226"/>
      <c r="AR123" s="226"/>
      <c r="AS123" s="226"/>
    </row>
    <row r="124" spans="1:45" s="250" customFormat="1" ht="28.5">
      <c r="A124" s="232" t="s">
        <v>1362</v>
      </c>
      <c r="B124" s="233" t="s">
        <v>306</v>
      </c>
      <c r="C124" s="254" t="s">
        <v>40</v>
      </c>
      <c r="D124" s="255">
        <v>7.5</v>
      </c>
      <c r="E124" s="679"/>
      <c r="F124" s="234">
        <f>(D124*E124)</f>
        <v>0</v>
      </c>
      <c r="G124" s="398"/>
      <c r="H124" s="398"/>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row>
    <row r="125" spans="1:45" s="225" customFormat="1">
      <c r="A125" s="232"/>
      <c r="B125" s="213"/>
      <c r="C125" s="268"/>
      <c r="D125" s="269"/>
      <c r="E125" s="270"/>
      <c r="F125" s="262"/>
      <c r="G125" s="397"/>
      <c r="H125" s="397"/>
      <c r="J125" s="209"/>
    </row>
    <row r="126" spans="1:45" ht="86.25" customHeight="1">
      <c r="A126" s="232" t="s">
        <v>745</v>
      </c>
      <c r="B126" s="252" t="s">
        <v>1365</v>
      </c>
      <c r="C126" s="257" t="s">
        <v>11</v>
      </c>
      <c r="D126" s="258">
        <v>31</v>
      </c>
      <c r="E126" s="678"/>
      <c r="F126" s="251">
        <f t="shared" si="31"/>
        <v>0</v>
      </c>
      <c r="G126" s="398"/>
      <c r="H126" s="398"/>
    </row>
    <row r="127" spans="1:45" s="265" customFormat="1">
      <c r="A127" s="267"/>
      <c r="B127" s="252"/>
      <c r="C127" s="257"/>
      <c r="D127" s="258"/>
      <c r="E127" s="259"/>
      <c r="F127" s="251"/>
      <c r="G127" s="398"/>
      <c r="H127" s="398"/>
      <c r="J127" s="212"/>
    </row>
    <row r="128" spans="1:45" s="265" customFormat="1">
      <c r="A128" s="232" t="s">
        <v>746</v>
      </c>
      <c r="B128" s="252" t="s">
        <v>78</v>
      </c>
      <c r="C128" s="257" t="s">
        <v>11</v>
      </c>
      <c r="D128" s="258">
        <v>31</v>
      </c>
      <c r="E128" s="678"/>
      <c r="F128" s="251">
        <f>+D128*E128</f>
        <v>0</v>
      </c>
      <c r="G128" s="398"/>
      <c r="H128" s="398"/>
      <c r="J128" s="212"/>
    </row>
    <row r="129" spans="1:45" s="265" customFormat="1">
      <c r="A129" s="232"/>
      <c r="B129" s="252"/>
      <c r="C129" s="257"/>
      <c r="D129" s="258"/>
      <c r="E129" s="259"/>
      <c r="F129" s="251"/>
      <c r="G129" s="398"/>
      <c r="H129" s="398"/>
      <c r="J129" s="212"/>
    </row>
    <row r="130" spans="1:45" s="265" customFormat="1" ht="45" customHeight="1">
      <c r="A130" s="232" t="s">
        <v>1363</v>
      </c>
      <c r="B130" s="252" t="s">
        <v>1366</v>
      </c>
      <c r="C130" s="257" t="s">
        <v>10</v>
      </c>
      <c r="D130" s="258">
        <v>1</v>
      </c>
      <c r="E130" s="678"/>
      <c r="F130" s="234">
        <f>(D130*E130)</f>
        <v>0</v>
      </c>
      <c r="G130" s="398"/>
      <c r="H130" s="398"/>
      <c r="J130" s="212"/>
    </row>
    <row r="131" spans="1:45" s="265" customFormat="1">
      <c r="A131" s="267"/>
      <c r="B131" s="252"/>
      <c r="C131" s="257"/>
      <c r="D131" s="258"/>
      <c r="E131" s="259"/>
      <c r="F131" s="251"/>
      <c r="G131" s="398"/>
      <c r="H131" s="398"/>
      <c r="J131" s="212"/>
    </row>
    <row r="132" spans="1:45" s="250" customFormat="1" ht="14.25">
      <c r="A132" s="232" t="s">
        <v>1364</v>
      </c>
      <c r="B132" s="233" t="s">
        <v>1346</v>
      </c>
      <c r="C132" s="254" t="s">
        <v>72</v>
      </c>
      <c r="D132" s="255">
        <v>1</v>
      </c>
      <c r="E132" s="679"/>
      <c r="F132" s="251">
        <f>E132*D132</f>
        <v>0</v>
      </c>
      <c r="G132" s="398"/>
      <c r="H132" s="398"/>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row>
    <row r="133" spans="1:45" s="250" customFormat="1" ht="14.25">
      <c r="A133" s="232"/>
      <c r="B133" s="233" t="s">
        <v>308</v>
      </c>
      <c r="C133" s="254" t="s">
        <v>10</v>
      </c>
      <c r="D133" s="255">
        <v>5</v>
      </c>
      <c r="E133" s="256"/>
      <c r="F133" s="251"/>
      <c r="G133" s="398"/>
      <c r="H133" s="398"/>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6"/>
      <c r="AO133" s="226"/>
      <c r="AP133" s="226"/>
      <c r="AQ133" s="226"/>
      <c r="AR133" s="226"/>
      <c r="AS133" s="226"/>
    </row>
    <row r="134" spans="1:45" s="250" customFormat="1" ht="14.25">
      <c r="A134" s="232"/>
      <c r="B134" s="233" t="s">
        <v>309</v>
      </c>
      <c r="C134" s="254" t="s">
        <v>10</v>
      </c>
      <c r="D134" s="255">
        <v>5</v>
      </c>
      <c r="E134" s="256"/>
      <c r="F134" s="251"/>
      <c r="G134" s="398"/>
      <c r="H134" s="398"/>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row>
    <row r="135" spans="1:45" s="250" customFormat="1" ht="14.25">
      <c r="A135" s="232"/>
      <c r="B135" s="233" t="s">
        <v>310</v>
      </c>
      <c r="C135" s="254" t="s">
        <v>10</v>
      </c>
      <c r="D135" s="255">
        <v>2</v>
      </c>
      <c r="E135" s="256"/>
      <c r="F135" s="251"/>
      <c r="G135" s="398"/>
      <c r="H135" s="398"/>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226"/>
      <c r="AL135" s="226"/>
      <c r="AM135" s="226"/>
      <c r="AN135" s="226"/>
      <c r="AO135" s="226"/>
      <c r="AP135" s="226"/>
      <c r="AQ135" s="226"/>
      <c r="AR135" s="226"/>
      <c r="AS135" s="226"/>
    </row>
    <row r="136" spans="1:45" s="250" customFormat="1" ht="14.25">
      <c r="A136" s="232"/>
      <c r="B136" s="233" t="s">
        <v>1347</v>
      </c>
      <c r="C136" s="254" t="s">
        <v>217</v>
      </c>
      <c r="D136" s="255">
        <v>45</v>
      </c>
      <c r="E136" s="256"/>
      <c r="F136" s="251"/>
      <c r="G136" s="398"/>
      <c r="H136" s="398"/>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6"/>
      <c r="AQ136" s="226"/>
      <c r="AR136" s="226"/>
      <c r="AS136" s="226"/>
    </row>
    <row r="137" spans="1:45" s="250" customFormat="1" ht="14.25">
      <c r="A137" s="232"/>
      <c r="B137" s="233" t="s">
        <v>1348</v>
      </c>
      <c r="C137" s="254" t="s">
        <v>217</v>
      </c>
      <c r="D137" s="255">
        <v>15</v>
      </c>
      <c r="E137" s="256"/>
      <c r="F137" s="251"/>
      <c r="G137" s="398"/>
      <c r="H137" s="398"/>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226"/>
      <c r="AK137" s="226"/>
      <c r="AL137" s="226"/>
      <c r="AM137" s="226"/>
      <c r="AN137" s="226"/>
      <c r="AO137" s="226"/>
      <c r="AP137" s="226"/>
      <c r="AQ137" s="226"/>
      <c r="AR137" s="226"/>
      <c r="AS137" s="226"/>
    </row>
    <row r="138" spans="1:45" s="250" customFormat="1" ht="14.25">
      <c r="A138" s="232"/>
      <c r="B138" s="233" t="s">
        <v>312</v>
      </c>
      <c r="C138" s="254" t="s">
        <v>72</v>
      </c>
      <c r="D138" s="255">
        <v>2</v>
      </c>
      <c r="E138" s="256"/>
      <c r="F138" s="251"/>
      <c r="G138" s="398"/>
      <c r="H138" s="398"/>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c r="AH138" s="226"/>
      <c r="AI138" s="226"/>
      <c r="AJ138" s="226"/>
      <c r="AK138" s="226"/>
      <c r="AL138" s="226"/>
      <c r="AM138" s="226"/>
      <c r="AN138" s="226"/>
      <c r="AO138" s="226"/>
      <c r="AP138" s="226"/>
      <c r="AQ138" s="226"/>
      <c r="AR138" s="226"/>
      <c r="AS138" s="226"/>
    </row>
    <row r="139" spans="1:45" s="250" customFormat="1" ht="14.25">
      <c r="A139" s="232"/>
      <c r="B139" s="233" t="s">
        <v>313</v>
      </c>
      <c r="C139" s="254" t="s">
        <v>72</v>
      </c>
      <c r="D139" s="255">
        <v>1</v>
      </c>
      <c r="E139" s="256"/>
      <c r="F139" s="251"/>
      <c r="G139" s="398"/>
      <c r="H139" s="398"/>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row>
    <row r="140" spans="1:45" s="250" customFormat="1" ht="14.25">
      <c r="A140" s="232"/>
      <c r="B140" s="233"/>
      <c r="C140" s="254"/>
      <c r="D140" s="255"/>
      <c r="E140" s="256"/>
      <c r="F140" s="251"/>
      <c r="G140" s="398"/>
      <c r="H140" s="398"/>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row>
    <row r="141" spans="1:45" s="250" customFormat="1" ht="14.25">
      <c r="A141" s="232" t="s">
        <v>747</v>
      </c>
      <c r="B141" s="233" t="s">
        <v>1349</v>
      </c>
      <c r="C141" s="254" t="s">
        <v>72</v>
      </c>
      <c r="D141" s="255">
        <v>1</v>
      </c>
      <c r="E141" s="679"/>
      <c r="F141" s="251">
        <f>E141*D141</f>
        <v>0</v>
      </c>
      <c r="G141" s="398"/>
      <c r="H141" s="398"/>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row>
    <row r="142" spans="1:45" s="250" customFormat="1" ht="14.25">
      <c r="A142" s="232"/>
      <c r="B142" s="233" t="s">
        <v>1350</v>
      </c>
      <c r="C142" s="254" t="s">
        <v>10</v>
      </c>
      <c r="D142" s="255">
        <v>1</v>
      </c>
      <c r="E142" s="256"/>
      <c r="F142" s="251"/>
      <c r="G142" s="398"/>
      <c r="H142" s="398"/>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row>
    <row r="143" spans="1:45" s="250" customFormat="1" ht="14.25">
      <c r="A143" s="232"/>
      <c r="B143" s="233" t="s">
        <v>309</v>
      </c>
      <c r="C143" s="254" t="s">
        <v>10</v>
      </c>
      <c r="D143" s="255">
        <v>1</v>
      </c>
      <c r="E143" s="256"/>
      <c r="F143" s="251"/>
      <c r="G143" s="398"/>
      <c r="H143" s="398"/>
      <c r="I143" s="226"/>
      <c r="J143" s="226"/>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c r="AH143" s="226"/>
      <c r="AI143" s="226"/>
      <c r="AJ143" s="226"/>
      <c r="AK143" s="226"/>
      <c r="AL143" s="226"/>
      <c r="AM143" s="226"/>
      <c r="AN143" s="226"/>
      <c r="AO143" s="226"/>
      <c r="AP143" s="226"/>
      <c r="AQ143" s="226"/>
      <c r="AR143" s="226"/>
      <c r="AS143" s="226"/>
    </row>
    <row r="144" spans="1:45" s="250" customFormat="1" ht="14.25">
      <c r="A144" s="232"/>
      <c r="B144" s="233" t="s">
        <v>311</v>
      </c>
      <c r="C144" s="254" t="s">
        <v>217</v>
      </c>
      <c r="D144" s="255">
        <v>4</v>
      </c>
      <c r="E144" s="256"/>
      <c r="F144" s="251"/>
      <c r="G144" s="398"/>
      <c r="H144" s="398"/>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row>
    <row r="145" spans="1:45" s="250" customFormat="1" ht="14.25">
      <c r="A145" s="232"/>
      <c r="B145" s="233" t="s">
        <v>313</v>
      </c>
      <c r="C145" s="254" t="s">
        <v>72</v>
      </c>
      <c r="D145" s="255">
        <v>1</v>
      </c>
      <c r="E145" s="256"/>
      <c r="F145" s="251"/>
      <c r="G145" s="398"/>
      <c r="H145" s="398"/>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c r="AM145" s="226"/>
      <c r="AN145" s="226"/>
      <c r="AO145" s="226"/>
      <c r="AP145" s="226"/>
      <c r="AQ145" s="226"/>
      <c r="AR145" s="226"/>
      <c r="AS145" s="226"/>
    </row>
    <row r="146" spans="1:45" s="250" customFormat="1" ht="14.25">
      <c r="A146" s="232"/>
      <c r="B146" s="233"/>
      <c r="C146" s="254"/>
      <c r="D146" s="255"/>
      <c r="E146" s="256"/>
      <c r="F146" s="251"/>
      <c r="G146" s="398"/>
      <c r="H146" s="398"/>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row>
    <row r="147" spans="1:45" s="250" customFormat="1" ht="14.25">
      <c r="A147" s="232" t="s">
        <v>748</v>
      </c>
      <c r="B147" s="233" t="s">
        <v>314</v>
      </c>
      <c r="C147" s="254" t="s">
        <v>72</v>
      </c>
      <c r="D147" s="255">
        <v>1</v>
      </c>
      <c r="E147" s="679"/>
      <c r="F147" s="251">
        <f>E147*D147</f>
        <v>0</v>
      </c>
      <c r="G147" s="398"/>
      <c r="H147" s="398"/>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226"/>
      <c r="AK147" s="226"/>
      <c r="AL147" s="226"/>
      <c r="AM147" s="226"/>
      <c r="AN147" s="226"/>
      <c r="AO147" s="226"/>
      <c r="AP147" s="226"/>
      <c r="AQ147" s="226"/>
      <c r="AR147" s="226"/>
      <c r="AS147" s="226"/>
    </row>
    <row r="148" spans="1:45" s="250" customFormat="1" ht="14.25">
      <c r="A148" s="232"/>
      <c r="B148" s="233" t="s">
        <v>1351</v>
      </c>
      <c r="C148" s="254"/>
      <c r="D148" s="255"/>
      <c r="E148" s="256"/>
      <c r="F148" s="251"/>
      <c r="G148" s="398"/>
      <c r="H148" s="398"/>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226"/>
      <c r="AK148" s="226"/>
      <c r="AL148" s="226"/>
      <c r="AM148" s="226"/>
      <c r="AN148" s="226"/>
      <c r="AO148" s="226"/>
      <c r="AP148" s="226"/>
      <c r="AQ148" s="226"/>
      <c r="AR148" s="226"/>
      <c r="AS148" s="226"/>
    </row>
    <row r="149" spans="1:45" s="250" customFormat="1" ht="14.25">
      <c r="A149" s="232"/>
      <c r="B149" s="233" t="s">
        <v>315</v>
      </c>
      <c r="C149" s="254"/>
      <c r="D149" s="255"/>
      <c r="E149" s="256"/>
      <c r="F149" s="251"/>
      <c r="G149" s="398"/>
      <c r="H149" s="398"/>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row>
    <row r="150" spans="1:45" s="250" customFormat="1" ht="14.25">
      <c r="A150" s="232"/>
      <c r="B150" s="233" t="s">
        <v>316</v>
      </c>
      <c r="C150" s="254" t="s">
        <v>72</v>
      </c>
      <c r="D150" s="255">
        <v>2</v>
      </c>
      <c r="E150" s="256"/>
      <c r="F150" s="251"/>
      <c r="G150" s="398"/>
      <c r="H150" s="398"/>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226"/>
      <c r="AK150" s="226"/>
      <c r="AL150" s="226"/>
      <c r="AM150" s="226"/>
      <c r="AN150" s="226"/>
      <c r="AO150" s="226"/>
      <c r="AP150" s="226"/>
      <c r="AQ150" s="226"/>
      <c r="AR150" s="226"/>
      <c r="AS150" s="226"/>
    </row>
    <row r="151" spans="1:45" s="250" customFormat="1" ht="14.25">
      <c r="A151" s="232"/>
      <c r="B151" s="233" t="s">
        <v>317</v>
      </c>
      <c r="C151" s="254" t="s">
        <v>72</v>
      </c>
      <c r="D151" s="255">
        <v>1</v>
      </c>
      <c r="E151" s="256"/>
      <c r="F151" s="251"/>
      <c r="G151" s="398"/>
      <c r="H151" s="398"/>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c r="AK151" s="226"/>
      <c r="AL151" s="226"/>
      <c r="AM151" s="226"/>
      <c r="AN151" s="226"/>
      <c r="AO151" s="226"/>
      <c r="AP151" s="226"/>
      <c r="AQ151" s="226"/>
      <c r="AR151" s="226"/>
      <c r="AS151" s="226"/>
    </row>
    <row r="152" spans="1:45" s="250" customFormat="1" ht="14.25">
      <c r="A152" s="232"/>
      <c r="B152" s="233" t="s">
        <v>313</v>
      </c>
      <c r="C152" s="254" t="s">
        <v>72</v>
      </c>
      <c r="D152" s="255">
        <v>1</v>
      </c>
      <c r="E152" s="256"/>
      <c r="F152" s="251"/>
      <c r="G152" s="398"/>
      <c r="H152" s="398"/>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row>
    <row r="153" spans="1:45" s="250" customFormat="1" ht="14.25">
      <c r="A153" s="232"/>
      <c r="B153" s="233"/>
      <c r="C153" s="254"/>
      <c r="D153" s="255"/>
      <c r="E153" s="256"/>
      <c r="F153" s="251"/>
      <c r="G153" s="398"/>
      <c r="H153" s="398"/>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c r="AN153" s="226"/>
      <c r="AO153" s="226"/>
      <c r="AP153" s="226"/>
      <c r="AQ153" s="226"/>
      <c r="AR153" s="226"/>
      <c r="AS153" s="226"/>
    </row>
    <row r="154" spans="1:45" s="250" customFormat="1" ht="14.25">
      <c r="A154" s="232" t="s">
        <v>749</v>
      </c>
      <c r="B154" s="233" t="s">
        <v>1352</v>
      </c>
      <c r="C154" s="254" t="s">
        <v>72</v>
      </c>
      <c r="D154" s="255">
        <v>1</v>
      </c>
      <c r="E154" s="679"/>
      <c r="F154" s="251">
        <f>E154*D154</f>
        <v>0</v>
      </c>
      <c r="G154" s="398"/>
      <c r="H154" s="398"/>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c r="AN154" s="226"/>
      <c r="AO154" s="226"/>
      <c r="AP154" s="226"/>
      <c r="AQ154" s="226"/>
      <c r="AR154" s="226"/>
      <c r="AS154" s="226"/>
    </row>
    <row r="155" spans="1:45" s="250" customFormat="1" ht="14.25">
      <c r="A155" s="232"/>
      <c r="B155" s="233" t="s">
        <v>1353</v>
      </c>
      <c r="C155" s="254" t="s">
        <v>72</v>
      </c>
      <c r="D155" s="255">
        <v>1</v>
      </c>
      <c r="E155" s="256"/>
      <c r="F155" s="251"/>
      <c r="G155" s="398"/>
      <c r="H155" s="398"/>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row>
    <row r="156" spans="1:45" s="250" customFormat="1" ht="14.25">
      <c r="A156" s="232"/>
      <c r="B156" s="233" t="s">
        <v>318</v>
      </c>
      <c r="C156" s="254" t="s">
        <v>72</v>
      </c>
      <c r="D156" s="255">
        <v>1</v>
      </c>
      <c r="E156" s="256"/>
      <c r="F156" s="251"/>
      <c r="G156" s="398"/>
      <c r="H156" s="398"/>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row>
    <row r="157" spans="1:45" s="250" customFormat="1" ht="14.25">
      <c r="A157" s="232"/>
      <c r="B157" s="233" t="s">
        <v>319</v>
      </c>
      <c r="C157" s="254" t="s">
        <v>10</v>
      </c>
      <c r="D157" s="255">
        <v>1</v>
      </c>
      <c r="E157" s="256"/>
      <c r="F157" s="251"/>
      <c r="G157" s="398"/>
      <c r="H157" s="398"/>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row>
    <row r="158" spans="1:45" s="250" customFormat="1" ht="14.25">
      <c r="A158" s="232"/>
      <c r="B158" s="233" t="s">
        <v>1354</v>
      </c>
      <c r="C158" s="254" t="s">
        <v>71</v>
      </c>
      <c r="D158" s="255">
        <v>5</v>
      </c>
      <c r="E158" s="256"/>
      <c r="F158" s="251"/>
      <c r="G158" s="398"/>
      <c r="H158" s="398"/>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row>
    <row r="159" spans="1:45" s="250" customFormat="1" ht="14.25">
      <c r="A159" s="232"/>
      <c r="B159" s="233" t="s">
        <v>313</v>
      </c>
      <c r="C159" s="254" t="s">
        <v>72</v>
      </c>
      <c r="D159" s="255">
        <v>1</v>
      </c>
      <c r="E159" s="256"/>
      <c r="F159" s="251"/>
      <c r="G159" s="398"/>
      <c r="H159" s="398"/>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6"/>
      <c r="AK159" s="226"/>
      <c r="AL159" s="226"/>
      <c r="AM159" s="226"/>
      <c r="AN159" s="226"/>
      <c r="AO159" s="226"/>
      <c r="AP159" s="226"/>
      <c r="AQ159" s="226"/>
      <c r="AR159" s="226"/>
      <c r="AS159" s="226"/>
    </row>
    <row r="160" spans="1:45" s="250" customFormat="1" ht="14.25">
      <c r="A160" s="232"/>
      <c r="B160" s="233"/>
      <c r="C160" s="254"/>
      <c r="D160" s="255"/>
      <c r="E160" s="256"/>
      <c r="F160" s="251"/>
      <c r="G160" s="398"/>
      <c r="H160" s="398"/>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6"/>
      <c r="AN160" s="226"/>
      <c r="AO160" s="226"/>
      <c r="AP160" s="226"/>
      <c r="AQ160" s="226"/>
      <c r="AR160" s="226"/>
      <c r="AS160" s="226"/>
    </row>
    <row r="161" spans="1:45" s="250" customFormat="1" ht="14.25">
      <c r="A161" s="232" t="s">
        <v>750</v>
      </c>
      <c r="B161" s="233" t="s">
        <v>1355</v>
      </c>
      <c r="C161" s="254" t="s">
        <v>72</v>
      </c>
      <c r="D161" s="255">
        <v>1</v>
      </c>
      <c r="E161" s="679"/>
      <c r="F161" s="251">
        <f>E161*D161</f>
        <v>0</v>
      </c>
      <c r="G161" s="398"/>
      <c r="H161" s="398"/>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c r="AN161" s="226"/>
      <c r="AO161" s="226"/>
      <c r="AP161" s="226"/>
      <c r="AQ161" s="226"/>
      <c r="AR161" s="226"/>
      <c r="AS161" s="226"/>
    </row>
    <row r="162" spans="1:45" s="250" customFormat="1" ht="14.25">
      <c r="A162" s="232"/>
      <c r="B162" s="233" t="s">
        <v>320</v>
      </c>
      <c r="C162" s="254" t="s">
        <v>10</v>
      </c>
      <c r="D162" s="255">
        <v>5</v>
      </c>
      <c r="E162" s="256"/>
      <c r="F162" s="251"/>
      <c r="G162" s="398"/>
      <c r="H162" s="398"/>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6"/>
      <c r="AS162" s="226"/>
    </row>
    <row r="163" spans="1:45" s="250" customFormat="1" ht="14.25">
      <c r="A163" s="232"/>
      <c r="B163" s="233" t="s">
        <v>321</v>
      </c>
      <c r="C163" s="254" t="s">
        <v>10</v>
      </c>
      <c r="D163" s="255">
        <v>5</v>
      </c>
      <c r="E163" s="256"/>
      <c r="F163" s="251"/>
      <c r="G163" s="398"/>
      <c r="H163" s="398"/>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row>
    <row r="164" spans="1:45" s="250" customFormat="1" ht="14.25">
      <c r="A164" s="232"/>
      <c r="B164" s="233" t="s">
        <v>1356</v>
      </c>
      <c r="C164" s="254" t="s">
        <v>10</v>
      </c>
      <c r="D164" s="255">
        <v>1</v>
      </c>
      <c r="E164" s="256"/>
      <c r="F164" s="251"/>
      <c r="G164" s="398"/>
      <c r="H164" s="398"/>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226"/>
      <c r="AL164" s="226"/>
      <c r="AM164" s="226"/>
      <c r="AN164" s="226"/>
      <c r="AO164" s="226"/>
      <c r="AP164" s="226"/>
      <c r="AQ164" s="226"/>
      <c r="AR164" s="226"/>
      <c r="AS164" s="226"/>
    </row>
    <row r="165" spans="1:45" s="250" customFormat="1" ht="14.25">
      <c r="A165" s="232"/>
      <c r="B165" s="233" t="s">
        <v>322</v>
      </c>
      <c r="C165" s="254" t="s">
        <v>10</v>
      </c>
      <c r="D165" s="255">
        <v>1</v>
      </c>
      <c r="E165" s="256"/>
      <c r="F165" s="251"/>
      <c r="G165" s="398"/>
      <c r="H165" s="398"/>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row>
    <row r="166" spans="1:45" s="250" customFormat="1" ht="14.25">
      <c r="A166" s="232"/>
      <c r="B166" s="233" t="s">
        <v>1357</v>
      </c>
      <c r="C166" s="254" t="s">
        <v>10</v>
      </c>
      <c r="D166" s="255">
        <v>5</v>
      </c>
      <c r="E166" s="256"/>
      <c r="F166" s="251"/>
      <c r="G166" s="398"/>
      <c r="H166" s="398"/>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26"/>
      <c r="AL166" s="226"/>
      <c r="AM166" s="226"/>
      <c r="AN166" s="226"/>
      <c r="AO166" s="226"/>
      <c r="AP166" s="226"/>
      <c r="AQ166" s="226"/>
      <c r="AR166" s="226"/>
      <c r="AS166" s="226"/>
    </row>
    <row r="167" spans="1:45" s="250" customFormat="1" ht="14.25">
      <c r="A167" s="232"/>
      <c r="B167" s="233" t="s">
        <v>1358</v>
      </c>
      <c r="C167" s="254" t="s">
        <v>10</v>
      </c>
      <c r="D167" s="255">
        <v>3</v>
      </c>
      <c r="E167" s="256"/>
      <c r="F167" s="251"/>
      <c r="G167" s="398"/>
      <c r="H167" s="398"/>
      <c r="I167" s="226"/>
      <c r="J167" s="226"/>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226"/>
      <c r="AG167" s="226"/>
      <c r="AH167" s="226"/>
      <c r="AI167" s="226"/>
      <c r="AJ167" s="226"/>
      <c r="AK167" s="226"/>
      <c r="AL167" s="226"/>
      <c r="AM167" s="226"/>
      <c r="AN167" s="226"/>
      <c r="AO167" s="226"/>
      <c r="AP167" s="226"/>
      <c r="AQ167" s="226"/>
      <c r="AR167" s="226"/>
      <c r="AS167" s="226"/>
    </row>
    <row r="168" spans="1:45" s="250" customFormat="1" ht="14.25">
      <c r="A168" s="232"/>
      <c r="B168" s="233" t="s">
        <v>313</v>
      </c>
      <c r="C168" s="254" t="s">
        <v>72</v>
      </c>
      <c r="D168" s="255">
        <v>1</v>
      </c>
      <c r="E168" s="256"/>
      <c r="F168" s="251"/>
      <c r="G168" s="398"/>
      <c r="H168" s="398"/>
      <c r="I168" s="226"/>
      <c r="J168" s="226"/>
      <c r="K168" s="226"/>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226"/>
      <c r="AL168" s="226"/>
      <c r="AM168" s="226"/>
      <c r="AN168" s="226"/>
      <c r="AO168" s="226"/>
      <c r="AP168" s="226"/>
      <c r="AQ168" s="226"/>
      <c r="AR168" s="226"/>
      <c r="AS168" s="226"/>
    </row>
    <row r="169" spans="1:45" s="250" customFormat="1" ht="14.25">
      <c r="A169" s="232"/>
      <c r="B169" s="233"/>
      <c r="C169" s="254"/>
      <c r="D169" s="255"/>
      <c r="E169" s="256"/>
      <c r="F169" s="251"/>
      <c r="G169" s="398"/>
      <c r="H169" s="398"/>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c r="AH169" s="226"/>
      <c r="AI169" s="226"/>
      <c r="AJ169" s="226"/>
      <c r="AK169" s="226"/>
      <c r="AL169" s="226"/>
      <c r="AM169" s="226"/>
      <c r="AN169" s="226"/>
      <c r="AO169" s="226"/>
      <c r="AP169" s="226"/>
      <c r="AQ169" s="226"/>
      <c r="AR169" s="226"/>
      <c r="AS169" s="226"/>
    </row>
    <row r="170" spans="1:45" s="250" customFormat="1" ht="14.25">
      <c r="A170" s="232" t="s">
        <v>751</v>
      </c>
      <c r="B170" s="233" t="s">
        <v>1359</v>
      </c>
      <c r="C170" s="254" t="s">
        <v>72</v>
      </c>
      <c r="D170" s="255">
        <v>1</v>
      </c>
      <c r="E170" s="679"/>
      <c r="F170" s="251">
        <f>E170*D170</f>
        <v>0</v>
      </c>
      <c r="G170" s="398"/>
      <c r="H170" s="398"/>
      <c r="I170" s="226"/>
      <c r="J170" s="226"/>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26"/>
      <c r="AO170" s="226"/>
      <c r="AP170" s="226"/>
      <c r="AQ170" s="226"/>
      <c r="AR170" s="226"/>
      <c r="AS170" s="226"/>
    </row>
    <row r="171" spans="1:45" s="250" customFormat="1" ht="14.25">
      <c r="A171" s="232"/>
      <c r="B171" s="233" t="s">
        <v>1360</v>
      </c>
      <c r="C171" s="254" t="s">
        <v>72</v>
      </c>
      <c r="D171" s="255">
        <v>1</v>
      </c>
      <c r="E171" s="256"/>
      <c r="F171" s="251"/>
      <c r="G171" s="398"/>
      <c r="H171" s="398"/>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26"/>
      <c r="AS171" s="226"/>
    </row>
    <row r="172" spans="1:45" s="250" customFormat="1" ht="14.25">
      <c r="A172" s="232"/>
      <c r="B172" s="233" t="s">
        <v>311</v>
      </c>
      <c r="C172" s="254" t="s">
        <v>72</v>
      </c>
      <c r="D172" s="255">
        <v>1</v>
      </c>
      <c r="E172" s="256"/>
      <c r="F172" s="251"/>
      <c r="G172" s="398"/>
      <c r="H172" s="398"/>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row>
    <row r="173" spans="1:45" s="250" customFormat="1" ht="14.25">
      <c r="A173" s="232"/>
      <c r="B173" s="233"/>
      <c r="C173" s="254"/>
      <c r="D173" s="255"/>
      <c r="E173" s="256"/>
      <c r="F173" s="251"/>
      <c r="G173" s="398"/>
      <c r="H173" s="398"/>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row>
    <row r="174" spans="1:45" s="250" customFormat="1" ht="14.25">
      <c r="A174" s="232" t="s">
        <v>752</v>
      </c>
      <c r="B174" s="233" t="s">
        <v>323</v>
      </c>
      <c r="C174" s="254" t="s">
        <v>324</v>
      </c>
      <c r="D174" s="255">
        <v>1</v>
      </c>
      <c r="E174" s="679"/>
      <c r="F174" s="251">
        <f>E174*D174</f>
        <v>0</v>
      </c>
      <c r="G174" s="398"/>
      <c r="H174" s="398"/>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226"/>
      <c r="AJ174" s="226"/>
      <c r="AK174" s="226"/>
      <c r="AL174" s="226"/>
      <c r="AM174" s="226"/>
      <c r="AN174" s="226"/>
      <c r="AO174" s="226"/>
      <c r="AP174" s="226"/>
      <c r="AQ174" s="226"/>
      <c r="AR174" s="226"/>
      <c r="AS174" s="226"/>
    </row>
    <row r="175" spans="1:45" s="250" customFormat="1" ht="14.25">
      <c r="A175" s="232"/>
      <c r="B175" s="233" t="s">
        <v>325</v>
      </c>
      <c r="C175" s="254" t="s">
        <v>324</v>
      </c>
      <c r="D175" s="255">
        <v>1</v>
      </c>
      <c r="E175" s="256"/>
      <c r="F175" s="251"/>
      <c r="G175" s="398"/>
      <c r="H175" s="398"/>
      <c r="I175" s="226"/>
      <c r="J175" s="226"/>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c r="AH175" s="226"/>
      <c r="AI175" s="226"/>
      <c r="AJ175" s="226"/>
      <c r="AK175" s="226"/>
      <c r="AL175" s="226"/>
      <c r="AM175" s="226"/>
      <c r="AN175" s="226"/>
      <c r="AO175" s="226"/>
      <c r="AP175" s="226"/>
      <c r="AQ175" s="226"/>
      <c r="AR175" s="226"/>
      <c r="AS175" s="226"/>
    </row>
    <row r="176" spans="1:45" s="250" customFormat="1" ht="14.25">
      <c r="A176" s="232"/>
      <c r="B176" s="233" t="s">
        <v>326</v>
      </c>
      <c r="C176" s="254" t="s">
        <v>324</v>
      </c>
      <c r="D176" s="255">
        <v>1</v>
      </c>
      <c r="E176" s="256"/>
      <c r="F176" s="251"/>
      <c r="G176" s="398"/>
      <c r="H176" s="398"/>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c r="AH176" s="226"/>
      <c r="AI176" s="226"/>
      <c r="AJ176" s="226"/>
      <c r="AK176" s="226"/>
      <c r="AL176" s="226"/>
      <c r="AM176" s="226"/>
      <c r="AN176" s="226"/>
      <c r="AO176" s="226"/>
      <c r="AP176" s="226"/>
      <c r="AQ176" s="226"/>
      <c r="AR176" s="226"/>
      <c r="AS176" s="226"/>
    </row>
    <row r="177" spans="1:45" s="250" customFormat="1" ht="14.25">
      <c r="A177" s="232"/>
      <c r="B177" s="233" t="s">
        <v>327</v>
      </c>
      <c r="C177" s="254" t="s">
        <v>324</v>
      </c>
      <c r="D177" s="255">
        <v>1</v>
      </c>
      <c r="E177" s="256"/>
      <c r="F177" s="251"/>
      <c r="G177" s="398"/>
      <c r="H177" s="398"/>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row>
    <row r="178" spans="1:45" s="250" customFormat="1" ht="14.25">
      <c r="A178" s="232"/>
      <c r="B178" s="233" t="s">
        <v>328</v>
      </c>
      <c r="C178" s="254" t="s">
        <v>324</v>
      </c>
      <c r="D178" s="255">
        <v>1</v>
      </c>
      <c r="E178" s="256"/>
      <c r="F178" s="251"/>
      <c r="G178" s="398"/>
      <c r="H178" s="398"/>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row>
    <row r="179" spans="1:45" s="250" customFormat="1" ht="14.25">
      <c r="A179" s="232"/>
      <c r="B179" s="233" t="s">
        <v>329</v>
      </c>
      <c r="C179" s="254" t="s">
        <v>324</v>
      </c>
      <c r="D179" s="255">
        <v>1</v>
      </c>
      <c r="E179" s="256"/>
      <c r="F179" s="251"/>
      <c r="G179" s="398"/>
      <c r="H179" s="398"/>
      <c r="I179" s="226"/>
      <c r="J179" s="226"/>
      <c r="K179" s="226"/>
      <c r="L179" s="226"/>
      <c r="M179" s="226"/>
      <c r="N179" s="226"/>
      <c r="O179" s="226"/>
      <c r="P179" s="226"/>
      <c r="Q179" s="226"/>
      <c r="R179" s="226"/>
      <c r="S179" s="226"/>
      <c r="T179" s="226"/>
      <c r="U179" s="226"/>
      <c r="V179" s="226"/>
      <c r="W179" s="226"/>
      <c r="X179" s="226"/>
      <c r="Y179" s="226"/>
      <c r="Z179" s="226"/>
      <c r="AA179" s="226"/>
      <c r="AB179" s="226"/>
      <c r="AC179" s="226"/>
      <c r="AD179" s="226"/>
      <c r="AE179" s="226"/>
      <c r="AF179" s="226"/>
      <c r="AG179" s="226"/>
      <c r="AH179" s="226"/>
      <c r="AI179" s="226"/>
      <c r="AJ179" s="226"/>
      <c r="AK179" s="226"/>
      <c r="AL179" s="226"/>
      <c r="AM179" s="226"/>
      <c r="AN179" s="226"/>
      <c r="AO179" s="226"/>
      <c r="AP179" s="226"/>
      <c r="AQ179" s="226"/>
      <c r="AR179" s="226"/>
      <c r="AS179" s="226"/>
    </row>
    <row r="180" spans="1:45" s="250" customFormat="1" ht="14.25">
      <c r="A180" s="232"/>
      <c r="B180" s="233" t="s">
        <v>330</v>
      </c>
      <c r="C180" s="254" t="s">
        <v>324</v>
      </c>
      <c r="D180" s="255">
        <v>1</v>
      </c>
      <c r="E180" s="256"/>
      <c r="F180" s="251"/>
      <c r="G180" s="398"/>
      <c r="H180" s="398"/>
      <c r="I180" s="226"/>
      <c r="J180" s="226"/>
      <c r="K180" s="226"/>
      <c r="L180" s="226"/>
      <c r="M180" s="226"/>
      <c r="N180" s="226"/>
      <c r="O180" s="226"/>
      <c r="P180" s="226"/>
      <c r="Q180" s="226"/>
      <c r="R180" s="226"/>
      <c r="S180" s="226"/>
      <c r="T180" s="226"/>
      <c r="U180" s="226"/>
      <c r="V180" s="226"/>
      <c r="W180" s="226"/>
      <c r="X180" s="226"/>
      <c r="Y180" s="226"/>
      <c r="Z180" s="226"/>
      <c r="AA180" s="226"/>
      <c r="AB180" s="226"/>
      <c r="AC180" s="226"/>
      <c r="AD180" s="226"/>
      <c r="AE180" s="226"/>
      <c r="AF180" s="226"/>
      <c r="AG180" s="226"/>
      <c r="AH180" s="226"/>
      <c r="AI180" s="226"/>
      <c r="AJ180" s="226"/>
      <c r="AK180" s="226"/>
      <c r="AL180" s="226"/>
      <c r="AM180" s="226"/>
      <c r="AN180" s="226"/>
      <c r="AO180" s="226"/>
      <c r="AP180" s="226"/>
      <c r="AQ180" s="226"/>
      <c r="AR180" s="226"/>
      <c r="AS180" s="226"/>
    </row>
    <row r="181" spans="1:45" s="250" customFormat="1" ht="14.25">
      <c r="A181" s="232"/>
      <c r="B181" s="233" t="s">
        <v>331</v>
      </c>
      <c r="C181" s="254" t="s">
        <v>324</v>
      </c>
      <c r="D181" s="255">
        <v>1</v>
      </c>
      <c r="E181" s="256"/>
      <c r="F181" s="251"/>
      <c r="G181" s="398"/>
      <c r="H181" s="398"/>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c r="AH181" s="226"/>
      <c r="AI181" s="226"/>
      <c r="AJ181" s="226"/>
      <c r="AK181" s="226"/>
      <c r="AL181" s="226"/>
      <c r="AM181" s="226"/>
      <c r="AN181" s="226"/>
      <c r="AO181" s="226"/>
      <c r="AP181" s="226"/>
      <c r="AQ181" s="226"/>
      <c r="AR181" s="226"/>
      <c r="AS181" s="226"/>
    </row>
    <row r="182" spans="1:45" s="250" customFormat="1" ht="14.25">
      <c r="A182" s="232"/>
      <c r="B182" s="233" t="s">
        <v>1361</v>
      </c>
      <c r="C182" s="254"/>
      <c r="D182" s="255"/>
      <c r="E182" s="256"/>
      <c r="F182" s="251"/>
      <c r="G182" s="398"/>
      <c r="H182" s="398"/>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row>
    <row r="183" spans="1:45" s="250" customFormat="1" ht="14.25">
      <c r="A183" s="260"/>
      <c r="B183" s="252"/>
      <c r="C183" s="257"/>
      <c r="D183" s="258"/>
      <c r="E183" s="259"/>
      <c r="F183" s="251"/>
      <c r="G183" s="398"/>
      <c r="H183" s="398"/>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226"/>
      <c r="AK183" s="226"/>
      <c r="AL183" s="226"/>
      <c r="AM183" s="226"/>
      <c r="AN183" s="226"/>
      <c r="AO183" s="226"/>
      <c r="AP183" s="226"/>
      <c r="AQ183" s="226"/>
      <c r="AR183" s="226"/>
      <c r="AS183" s="226"/>
    </row>
    <row r="184" spans="1:45" s="250" customFormat="1" ht="61.5" customHeight="1">
      <c r="A184" s="260" t="s">
        <v>1567</v>
      </c>
      <c r="B184" s="252" t="s">
        <v>1568</v>
      </c>
      <c r="C184" s="257" t="s">
        <v>72</v>
      </c>
      <c r="D184" s="258">
        <v>1</v>
      </c>
      <c r="E184" s="678"/>
      <c r="F184" s="251">
        <f>E184*D184</f>
        <v>0</v>
      </c>
      <c r="G184" s="398"/>
      <c r="H184" s="398"/>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c r="AH184" s="226"/>
      <c r="AI184" s="226"/>
      <c r="AJ184" s="226"/>
      <c r="AK184" s="226"/>
      <c r="AL184" s="226"/>
      <c r="AM184" s="226"/>
      <c r="AN184" s="226"/>
      <c r="AO184" s="226"/>
      <c r="AP184" s="226"/>
      <c r="AQ184" s="226"/>
      <c r="AR184" s="226"/>
      <c r="AS184" s="226"/>
    </row>
    <row r="185" spans="1:45" s="250" customFormat="1" ht="14.25">
      <c r="A185" s="260"/>
      <c r="B185" s="252"/>
      <c r="C185" s="257"/>
      <c r="D185" s="258"/>
      <c r="E185" s="259"/>
      <c r="F185" s="251"/>
      <c r="G185" s="398"/>
      <c r="H185" s="398"/>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row>
    <row r="186" spans="1:45" s="250" customFormat="1" ht="28.5">
      <c r="A186" s="260" t="s">
        <v>1588</v>
      </c>
      <c r="B186" s="252" t="s">
        <v>1573</v>
      </c>
      <c r="C186" s="257" t="s">
        <v>10</v>
      </c>
      <c r="D186" s="258">
        <v>1</v>
      </c>
      <c r="E186" s="678"/>
      <c r="F186" s="251">
        <f t="shared" ref="F186" si="32">D186*E186</f>
        <v>0</v>
      </c>
      <c r="G186" s="398"/>
      <c r="H186" s="398"/>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226"/>
      <c r="AK186" s="226"/>
      <c r="AL186" s="226"/>
      <c r="AM186" s="226"/>
      <c r="AN186" s="226"/>
      <c r="AO186" s="226"/>
      <c r="AP186" s="226"/>
      <c r="AQ186" s="226"/>
      <c r="AR186" s="226"/>
      <c r="AS186" s="226"/>
    </row>
    <row r="187" spans="1:45" s="225" customFormat="1" ht="15.75" thickBot="1">
      <c r="A187" s="235"/>
      <c r="B187" s="236"/>
      <c r="C187" s="237"/>
      <c r="D187" s="238"/>
      <c r="E187" s="239"/>
      <c r="F187" s="240"/>
      <c r="G187" s="397"/>
      <c r="H187" s="397"/>
      <c r="J187" s="209"/>
    </row>
    <row r="188" spans="1:45" s="225" customFormat="1" ht="16.5" thickTop="1" thickBot="1">
      <c r="A188" s="241" t="s">
        <v>467</v>
      </c>
      <c r="B188" s="242" t="s">
        <v>737</v>
      </c>
      <c r="C188" s="243"/>
      <c r="D188" s="244"/>
      <c r="E188" s="245"/>
      <c r="F188" s="246">
        <f>SUM(F94:F186)</f>
        <v>0</v>
      </c>
      <c r="G188" s="399"/>
      <c r="H188" s="399"/>
      <c r="J188" s="209"/>
    </row>
    <row r="189" spans="1:45" ht="15.75" thickTop="1">
      <c r="A189" s="232"/>
      <c r="B189" s="252"/>
      <c r="C189" s="257"/>
      <c r="D189" s="258"/>
      <c r="E189" s="259"/>
      <c r="F189" s="251"/>
      <c r="G189" s="398"/>
      <c r="H189" s="398"/>
      <c r="J189"/>
    </row>
    <row r="190" spans="1:45">
      <c r="A190" s="227" t="s">
        <v>466</v>
      </c>
      <c r="B190" s="218" t="s">
        <v>59</v>
      </c>
      <c r="C190" s="228"/>
      <c r="D190" s="229"/>
      <c r="E190" s="230"/>
      <c r="F190" s="231"/>
      <c r="G190" s="397"/>
      <c r="H190" s="397"/>
      <c r="J190"/>
    </row>
    <row r="191" spans="1:45">
      <c r="A191" s="227"/>
      <c r="B191" s="218"/>
      <c r="C191" s="228"/>
      <c r="D191" s="229"/>
      <c r="E191" s="230"/>
      <c r="F191" s="231"/>
      <c r="G191" s="397"/>
      <c r="H191" s="397"/>
      <c r="J191"/>
    </row>
    <row r="192" spans="1:45">
      <c r="A192" s="232" t="s">
        <v>753</v>
      </c>
      <c r="B192" s="233" t="s">
        <v>1093</v>
      </c>
      <c r="C192" s="254" t="s">
        <v>72</v>
      </c>
      <c r="D192" s="255">
        <v>1</v>
      </c>
      <c r="E192" s="679"/>
      <c r="F192" s="234">
        <f>(D192*E192)</f>
        <v>0</v>
      </c>
      <c r="G192" s="398"/>
      <c r="H192" s="398"/>
      <c r="J192"/>
    </row>
    <row r="193" spans="1:10">
      <c r="A193" s="232"/>
      <c r="B193" s="233"/>
      <c r="C193" s="254"/>
      <c r="D193" s="255"/>
      <c r="E193" s="256"/>
      <c r="F193" s="234"/>
      <c r="G193" s="398"/>
      <c r="H193" s="398"/>
      <c r="J193"/>
    </row>
    <row r="194" spans="1:10" ht="28.5">
      <c r="A194" s="232" t="s">
        <v>754</v>
      </c>
      <c r="B194" s="233" t="s">
        <v>1197</v>
      </c>
      <c r="C194" s="254" t="s">
        <v>40</v>
      </c>
      <c r="D194" s="255">
        <v>10</v>
      </c>
      <c r="E194" s="679"/>
      <c r="F194" s="234">
        <f>(D194*E194)</f>
        <v>0</v>
      </c>
      <c r="G194" s="398"/>
      <c r="H194" s="398"/>
      <c r="J194"/>
    </row>
    <row r="195" spans="1:10">
      <c r="A195" s="232"/>
      <c r="B195" s="249"/>
      <c r="C195" s="247"/>
      <c r="D195" s="248"/>
      <c r="E195" s="54"/>
      <c r="F195" s="231"/>
      <c r="G195" s="397"/>
      <c r="H195" s="397"/>
      <c r="J195"/>
    </row>
    <row r="196" spans="1:10" ht="42.75">
      <c r="A196" s="232" t="s">
        <v>755</v>
      </c>
      <c r="B196" s="252" t="s">
        <v>339</v>
      </c>
      <c r="C196" s="254" t="s">
        <v>40</v>
      </c>
      <c r="D196" s="255">
        <v>1</v>
      </c>
      <c r="E196" s="679"/>
      <c r="F196" s="234">
        <f>(D196*E196)</f>
        <v>0</v>
      </c>
      <c r="G196" s="398"/>
      <c r="H196" s="398"/>
      <c r="J196"/>
    </row>
    <row r="197" spans="1:10">
      <c r="A197" s="232"/>
      <c r="B197" s="252"/>
      <c r="C197" s="254"/>
      <c r="D197" s="255"/>
      <c r="E197" s="256"/>
      <c r="F197" s="234"/>
      <c r="G197" s="398"/>
      <c r="H197" s="398"/>
      <c r="J197"/>
    </row>
    <row r="198" spans="1:10" ht="62.25" customHeight="1">
      <c r="A198" s="232" t="s">
        <v>756</v>
      </c>
      <c r="B198" s="252" t="s">
        <v>1151</v>
      </c>
      <c r="C198" s="254" t="s">
        <v>40</v>
      </c>
      <c r="D198" s="255">
        <v>4</v>
      </c>
      <c r="E198" s="679"/>
      <c r="F198" s="234">
        <f>(D198*E198)</f>
        <v>0</v>
      </c>
      <c r="G198" s="398"/>
      <c r="H198" s="398"/>
      <c r="J198"/>
    </row>
    <row r="199" spans="1:10">
      <c r="A199" s="232"/>
      <c r="B199" s="252"/>
      <c r="C199" s="254"/>
      <c r="D199" s="255"/>
      <c r="E199" s="256"/>
      <c r="F199" s="234"/>
      <c r="G199" s="398"/>
      <c r="H199" s="398"/>
      <c r="J199"/>
    </row>
    <row r="200" spans="1:10" ht="28.5">
      <c r="A200" s="232" t="s">
        <v>757</v>
      </c>
      <c r="B200" s="252" t="s">
        <v>1152</v>
      </c>
      <c r="C200" s="254" t="s">
        <v>40</v>
      </c>
      <c r="D200" s="255">
        <v>5</v>
      </c>
      <c r="E200" s="679"/>
      <c r="F200" s="234">
        <f>(D200*E200)</f>
        <v>0</v>
      </c>
      <c r="G200" s="398"/>
      <c r="H200" s="398"/>
      <c r="J200"/>
    </row>
    <row r="201" spans="1:10">
      <c r="A201" s="232"/>
      <c r="B201" s="233"/>
      <c r="C201" s="254"/>
      <c r="D201" s="255"/>
      <c r="E201" s="256"/>
      <c r="F201" s="234"/>
      <c r="G201" s="398"/>
      <c r="H201" s="398"/>
      <c r="J201" s="225"/>
    </row>
    <row r="202" spans="1:10">
      <c r="A202" s="232" t="s">
        <v>758</v>
      </c>
      <c r="B202" s="233" t="s">
        <v>78</v>
      </c>
      <c r="C202" s="254" t="s">
        <v>11</v>
      </c>
      <c r="D202" s="255">
        <v>30</v>
      </c>
      <c r="E202" s="679"/>
      <c r="F202" s="234">
        <f>(D202*E202)</f>
        <v>0</v>
      </c>
      <c r="G202" s="398"/>
      <c r="H202" s="398"/>
      <c r="J202" s="225"/>
    </row>
    <row r="203" spans="1:10">
      <c r="A203" s="232"/>
      <c r="B203" s="233"/>
      <c r="C203" s="254"/>
      <c r="D203" s="255"/>
      <c r="E203" s="256"/>
      <c r="F203" s="234"/>
      <c r="G203" s="398"/>
      <c r="H203" s="398"/>
      <c r="J203"/>
    </row>
    <row r="204" spans="1:10" ht="61.5" customHeight="1">
      <c r="A204" s="232" t="s">
        <v>759</v>
      </c>
      <c r="B204" s="233" t="s">
        <v>80</v>
      </c>
      <c r="C204" s="254" t="s">
        <v>70</v>
      </c>
      <c r="D204" s="255">
        <v>86</v>
      </c>
      <c r="E204" s="679"/>
      <c r="F204" s="234">
        <f t="shared" ref="F204" si="33">(D204*E204)</f>
        <v>0</v>
      </c>
      <c r="G204" s="398"/>
      <c r="H204" s="398"/>
      <c r="J204"/>
    </row>
    <row r="205" spans="1:10">
      <c r="A205" s="232"/>
      <c r="B205" s="233"/>
      <c r="C205" s="254"/>
      <c r="D205" s="255"/>
      <c r="E205" s="256"/>
      <c r="F205" s="234"/>
      <c r="G205" s="398"/>
      <c r="H205" s="398"/>
      <c r="J205"/>
    </row>
    <row r="206" spans="1:10" ht="90" customHeight="1">
      <c r="A206" s="232" t="s">
        <v>760</v>
      </c>
      <c r="B206" s="233" t="s">
        <v>1234</v>
      </c>
      <c r="C206" s="254" t="s">
        <v>72</v>
      </c>
      <c r="D206" s="255">
        <v>2</v>
      </c>
      <c r="E206" s="679"/>
      <c r="F206" s="234">
        <f t="shared" ref="F206:F212" si="34">(D206*E206)</f>
        <v>0</v>
      </c>
      <c r="G206" s="398"/>
      <c r="H206" s="398"/>
      <c r="J206"/>
    </row>
    <row r="207" spans="1:10">
      <c r="A207" s="232"/>
      <c r="B207" s="233"/>
      <c r="C207" s="254"/>
      <c r="D207" s="255"/>
      <c r="E207" s="256"/>
      <c r="F207" s="234"/>
      <c r="G207" s="398"/>
      <c r="H207" s="398"/>
      <c r="J207"/>
    </row>
    <row r="208" spans="1:10">
      <c r="A208" s="232" t="s">
        <v>761</v>
      </c>
      <c r="B208" s="252" t="s">
        <v>1153</v>
      </c>
      <c r="C208" s="254" t="s">
        <v>72</v>
      </c>
      <c r="D208" s="255">
        <v>2</v>
      </c>
      <c r="E208" s="679"/>
      <c r="F208" s="234">
        <f t="shared" si="34"/>
        <v>0</v>
      </c>
      <c r="G208" s="398"/>
      <c r="H208" s="398"/>
      <c r="J208"/>
    </row>
    <row r="209" spans="1:10">
      <c r="A209" s="232"/>
      <c r="B209" s="233"/>
      <c r="C209" s="254"/>
      <c r="D209" s="255"/>
      <c r="E209" s="256"/>
      <c r="F209" s="234"/>
      <c r="G209" s="398"/>
      <c r="H209" s="398"/>
      <c r="J209"/>
    </row>
    <row r="210" spans="1:10" ht="85.5">
      <c r="A210" s="232" t="s">
        <v>762</v>
      </c>
      <c r="B210" s="252" t="s">
        <v>1233</v>
      </c>
      <c r="C210" s="257" t="s">
        <v>72</v>
      </c>
      <c r="D210" s="258">
        <v>1</v>
      </c>
      <c r="E210" s="678"/>
      <c r="F210" s="234">
        <f t="shared" si="34"/>
        <v>0</v>
      </c>
      <c r="G210" s="398"/>
      <c r="H210" s="398"/>
      <c r="J210"/>
    </row>
    <row r="211" spans="1:10">
      <c r="A211" s="232"/>
      <c r="B211" s="252"/>
      <c r="C211" s="257"/>
      <c r="D211" s="258"/>
      <c r="E211" s="259"/>
      <c r="F211" s="234"/>
      <c r="G211" s="398"/>
      <c r="H211" s="398"/>
      <c r="J211"/>
    </row>
    <row r="212" spans="1:10">
      <c r="A212" s="232" t="s">
        <v>763</v>
      </c>
      <c r="B212" s="252" t="s">
        <v>1154</v>
      </c>
      <c r="C212" s="254" t="s">
        <v>72</v>
      </c>
      <c r="D212" s="255">
        <v>1</v>
      </c>
      <c r="E212" s="679"/>
      <c r="F212" s="234">
        <f t="shared" si="34"/>
        <v>0</v>
      </c>
      <c r="G212" s="398"/>
      <c r="H212" s="398"/>
      <c r="J212"/>
    </row>
    <row r="213" spans="1:10" ht="15.75" thickBot="1">
      <c r="A213" s="235"/>
      <c r="B213" s="236"/>
      <c r="C213" s="237"/>
      <c r="D213" s="238"/>
      <c r="E213" s="239"/>
      <c r="F213" s="240"/>
      <c r="G213" s="397"/>
      <c r="H213" s="397"/>
      <c r="J213"/>
    </row>
    <row r="214" spans="1:10" ht="16.5" thickTop="1" thickBot="1">
      <c r="A214" s="241" t="s">
        <v>466</v>
      </c>
      <c r="B214" s="242" t="s">
        <v>60</v>
      </c>
      <c r="C214" s="243"/>
      <c r="D214" s="244"/>
      <c r="E214" s="245"/>
      <c r="F214" s="246">
        <f>SUM(F190:F213)</f>
        <v>0</v>
      </c>
      <c r="G214" s="399"/>
      <c r="H214" s="399"/>
      <c r="J214"/>
    </row>
    <row r="215" spans="1:10" ht="15.75" thickTop="1">
      <c r="A215" s="232"/>
      <c r="B215" s="252"/>
      <c r="C215" s="257"/>
      <c r="D215" s="258"/>
      <c r="E215" s="259"/>
      <c r="F215" s="251"/>
      <c r="G215" s="398"/>
      <c r="H215" s="398"/>
      <c r="J215"/>
    </row>
    <row r="216" spans="1:10" s="265" customFormat="1">
      <c r="A216" s="274" t="s">
        <v>465</v>
      </c>
      <c r="B216" s="271" t="s">
        <v>1667</v>
      </c>
      <c r="C216" s="228"/>
      <c r="D216" s="229"/>
      <c r="E216" s="230"/>
      <c r="F216" s="234"/>
      <c r="G216" s="398"/>
      <c r="H216" s="398"/>
    </row>
    <row r="217" spans="1:10" s="265" customFormat="1">
      <c r="A217" s="274"/>
      <c r="B217" s="271"/>
      <c r="C217" s="228"/>
      <c r="D217" s="229"/>
      <c r="E217" s="230"/>
      <c r="F217" s="234"/>
      <c r="G217" s="398"/>
      <c r="H217" s="398"/>
    </row>
    <row r="218" spans="1:10" s="265" customFormat="1">
      <c r="A218" s="253" t="s">
        <v>764</v>
      </c>
      <c r="B218" s="233" t="s">
        <v>1093</v>
      </c>
      <c r="C218" s="254" t="s">
        <v>72</v>
      </c>
      <c r="D218" s="255">
        <v>1</v>
      </c>
      <c r="E218" s="679"/>
      <c r="F218" s="234">
        <f>(D218*E218)</f>
        <v>0</v>
      </c>
      <c r="G218" s="398"/>
      <c r="H218" s="398"/>
    </row>
    <row r="219" spans="1:10" s="265" customFormat="1">
      <c r="A219" s="274"/>
      <c r="B219" s="271"/>
      <c r="C219" s="228"/>
      <c r="D219" s="229"/>
      <c r="E219" s="230"/>
      <c r="F219" s="234"/>
      <c r="G219" s="398"/>
      <c r="H219" s="398"/>
    </row>
    <row r="220" spans="1:10" s="265" customFormat="1">
      <c r="A220" s="253" t="s">
        <v>765</v>
      </c>
      <c r="B220" s="233" t="s">
        <v>1195</v>
      </c>
      <c r="C220" s="254" t="s">
        <v>40</v>
      </c>
      <c r="D220" s="255">
        <v>89</v>
      </c>
      <c r="E220" s="679"/>
      <c r="F220" s="234">
        <f t="shared" ref="F220" si="35">(D220*E220)</f>
        <v>0</v>
      </c>
      <c r="G220" s="398"/>
      <c r="H220" s="398"/>
    </row>
    <row r="221" spans="1:10" s="265" customFormat="1">
      <c r="A221" s="253"/>
      <c r="B221" s="233"/>
      <c r="C221" s="254"/>
      <c r="D221" s="255"/>
      <c r="E221" s="256"/>
      <c r="F221" s="234"/>
      <c r="G221" s="398"/>
      <c r="H221" s="398"/>
    </row>
    <row r="222" spans="1:10" s="265" customFormat="1">
      <c r="A222" s="253" t="s">
        <v>766</v>
      </c>
      <c r="B222" s="233" t="s">
        <v>1196</v>
      </c>
      <c r="C222" s="254" t="s">
        <v>40</v>
      </c>
      <c r="D222" s="255">
        <v>9</v>
      </c>
      <c r="E222" s="679"/>
      <c r="F222" s="234">
        <f t="shared" ref="F222" si="36">(D222*E222)</f>
        <v>0</v>
      </c>
      <c r="G222" s="398"/>
      <c r="H222" s="398"/>
    </row>
    <row r="223" spans="1:10" s="265" customFormat="1">
      <c r="A223" s="274"/>
      <c r="B223" s="271"/>
      <c r="C223" s="228"/>
      <c r="D223" s="229"/>
      <c r="E223" s="230"/>
      <c r="F223" s="234"/>
      <c r="G223" s="398"/>
      <c r="H223" s="398"/>
    </row>
    <row r="224" spans="1:10" s="265" customFormat="1" ht="28.5">
      <c r="A224" s="253" t="s">
        <v>767</v>
      </c>
      <c r="B224" s="233" t="s">
        <v>1197</v>
      </c>
      <c r="C224" s="254" t="s">
        <v>40</v>
      </c>
      <c r="D224" s="255">
        <v>37</v>
      </c>
      <c r="E224" s="679"/>
      <c r="F224" s="234">
        <f t="shared" ref="F224" si="37">(D224*E224)</f>
        <v>0</v>
      </c>
      <c r="G224" s="398"/>
      <c r="H224" s="398"/>
    </row>
    <row r="225" spans="1:10" s="265" customFormat="1">
      <c r="A225" s="253"/>
      <c r="B225" s="271"/>
      <c r="C225" s="228"/>
      <c r="D225" s="229"/>
      <c r="E225" s="230"/>
      <c r="F225" s="234"/>
      <c r="G225" s="398"/>
      <c r="H225" s="398"/>
    </row>
    <row r="226" spans="1:10" s="265" customFormat="1" ht="28.5">
      <c r="A226" s="253" t="s">
        <v>768</v>
      </c>
      <c r="B226" s="233" t="s">
        <v>1198</v>
      </c>
      <c r="C226" s="254" t="s">
        <v>40</v>
      </c>
      <c r="D226" s="255">
        <v>4</v>
      </c>
      <c r="E226" s="679"/>
      <c r="F226" s="234">
        <f t="shared" ref="F226" si="38">(D226*E226)</f>
        <v>0</v>
      </c>
      <c r="G226" s="398"/>
      <c r="H226" s="398"/>
    </row>
    <row r="227" spans="1:10" s="265" customFormat="1">
      <c r="A227" s="274"/>
      <c r="B227" s="271"/>
      <c r="C227" s="228"/>
      <c r="D227" s="229"/>
      <c r="E227" s="230"/>
      <c r="F227" s="234"/>
      <c r="G227" s="398"/>
      <c r="H227" s="398"/>
    </row>
    <row r="228" spans="1:10" s="265" customFormat="1" ht="42.75">
      <c r="A228" s="253" t="s">
        <v>1271</v>
      </c>
      <c r="B228" s="233" t="s">
        <v>1664</v>
      </c>
      <c r="C228" s="254" t="s">
        <v>40</v>
      </c>
      <c r="D228" s="255">
        <v>70</v>
      </c>
      <c r="E228" s="679"/>
      <c r="F228" s="234">
        <f t="shared" ref="F228" si="39">(D228*E228)</f>
        <v>0</v>
      </c>
      <c r="G228" s="398"/>
      <c r="H228" s="398"/>
      <c r="J228" s="219"/>
    </row>
    <row r="229" spans="1:10" s="265" customFormat="1">
      <c r="A229" s="253"/>
      <c r="B229" s="233"/>
      <c r="C229" s="254"/>
      <c r="D229" s="255"/>
      <c r="E229" s="256"/>
      <c r="F229" s="234"/>
      <c r="G229" s="398"/>
      <c r="H229" s="398"/>
      <c r="J229" s="219"/>
    </row>
    <row r="230" spans="1:10" s="265" customFormat="1" ht="28.5">
      <c r="A230" s="253" t="s">
        <v>769</v>
      </c>
      <c r="B230" s="233" t="s">
        <v>1668</v>
      </c>
      <c r="C230" s="254" t="s">
        <v>40</v>
      </c>
      <c r="D230" s="255">
        <v>27</v>
      </c>
      <c r="E230" s="679"/>
      <c r="F230" s="234">
        <f t="shared" ref="F230:F242" si="40">(D230*E230)</f>
        <v>0</v>
      </c>
      <c r="G230" s="398"/>
      <c r="H230" s="398"/>
      <c r="J230" s="219"/>
    </row>
    <row r="231" spans="1:10" s="265" customFormat="1">
      <c r="A231" s="274"/>
      <c r="B231" s="233"/>
      <c r="C231" s="254"/>
      <c r="D231" s="255"/>
      <c r="E231" s="256"/>
      <c r="F231" s="234"/>
      <c r="G231" s="398"/>
      <c r="H231" s="398"/>
      <c r="J231" s="219"/>
    </row>
    <row r="232" spans="1:10" s="265" customFormat="1" ht="28.5">
      <c r="A232" s="253" t="s">
        <v>770</v>
      </c>
      <c r="B232" s="233" t="s">
        <v>1319</v>
      </c>
      <c r="C232" s="254" t="s">
        <v>40</v>
      </c>
      <c r="D232" s="255">
        <v>0.89</v>
      </c>
      <c r="E232" s="679"/>
      <c r="F232" s="234">
        <f t="shared" si="40"/>
        <v>0</v>
      </c>
      <c r="G232" s="398"/>
      <c r="H232" s="398"/>
      <c r="J232" s="219"/>
    </row>
    <row r="233" spans="1:10" s="265" customFormat="1">
      <c r="A233" s="253"/>
      <c r="B233" s="233"/>
      <c r="C233" s="254"/>
      <c r="D233" s="255"/>
      <c r="E233" s="256"/>
      <c r="F233" s="234"/>
      <c r="G233" s="398"/>
      <c r="H233" s="398"/>
      <c r="J233" s="219"/>
    </row>
    <row r="234" spans="1:10" s="265" customFormat="1">
      <c r="A234" s="253" t="s">
        <v>771</v>
      </c>
      <c r="B234" s="233" t="s">
        <v>1372</v>
      </c>
      <c r="C234" s="254" t="s">
        <v>40</v>
      </c>
      <c r="D234" s="255">
        <v>2.79</v>
      </c>
      <c r="E234" s="679"/>
      <c r="F234" s="234">
        <f t="shared" si="40"/>
        <v>0</v>
      </c>
      <c r="G234" s="398"/>
      <c r="H234" s="398"/>
      <c r="J234" s="219"/>
    </row>
    <row r="235" spans="1:10" s="265" customFormat="1">
      <c r="A235" s="274"/>
      <c r="B235" s="233"/>
      <c r="C235" s="254"/>
      <c r="D235" s="255"/>
      <c r="E235" s="256"/>
      <c r="F235" s="234"/>
      <c r="G235" s="398"/>
      <c r="H235" s="398"/>
      <c r="J235" s="219"/>
    </row>
    <row r="236" spans="1:10" s="265" customFormat="1">
      <c r="A236" s="253" t="s">
        <v>772</v>
      </c>
      <c r="B236" s="233" t="s">
        <v>1321</v>
      </c>
      <c r="C236" s="254" t="s">
        <v>11</v>
      </c>
      <c r="D236" s="255">
        <v>15.35</v>
      </c>
      <c r="E236" s="679"/>
      <c r="F236" s="234">
        <f t="shared" si="40"/>
        <v>0</v>
      </c>
      <c r="G236" s="398"/>
      <c r="H236" s="398"/>
      <c r="J236" s="219"/>
    </row>
    <row r="237" spans="1:10" s="265" customFormat="1">
      <c r="A237" s="253"/>
      <c r="B237" s="233"/>
      <c r="C237" s="254"/>
      <c r="D237" s="255"/>
      <c r="E237" s="256"/>
      <c r="F237" s="234"/>
      <c r="G237" s="398"/>
      <c r="H237" s="398"/>
      <c r="J237" s="219"/>
    </row>
    <row r="238" spans="1:10" s="265" customFormat="1">
      <c r="A238" s="253" t="s">
        <v>773</v>
      </c>
      <c r="B238" s="233" t="s">
        <v>1322</v>
      </c>
      <c r="C238" s="254" t="s">
        <v>11</v>
      </c>
      <c r="D238" s="255">
        <v>5.03</v>
      </c>
      <c r="E238" s="679"/>
      <c r="F238" s="234">
        <f t="shared" si="40"/>
        <v>0</v>
      </c>
      <c r="G238" s="398"/>
      <c r="H238" s="398"/>
      <c r="J238" s="219"/>
    </row>
    <row r="239" spans="1:10" s="265" customFormat="1">
      <c r="A239" s="274"/>
      <c r="B239" s="233"/>
      <c r="C239" s="254"/>
      <c r="D239" s="255"/>
      <c r="E239" s="256"/>
      <c r="F239" s="234"/>
      <c r="G239" s="398"/>
      <c r="H239" s="398"/>
      <c r="J239" s="219"/>
    </row>
    <row r="240" spans="1:10" s="265" customFormat="1">
      <c r="A240" s="253" t="s">
        <v>774</v>
      </c>
      <c r="B240" s="233" t="s">
        <v>1373</v>
      </c>
      <c r="C240" s="254" t="s">
        <v>11</v>
      </c>
      <c r="D240" s="255">
        <v>1.92</v>
      </c>
      <c r="E240" s="679"/>
      <c r="F240" s="234">
        <f t="shared" si="40"/>
        <v>0</v>
      </c>
      <c r="G240" s="398"/>
      <c r="H240" s="398"/>
      <c r="J240" s="219"/>
    </row>
    <row r="241" spans="1:16" s="265" customFormat="1">
      <c r="A241" s="253"/>
      <c r="B241" s="233"/>
      <c r="C241" s="254"/>
      <c r="D241" s="255"/>
      <c r="E241" s="256"/>
      <c r="F241" s="234"/>
      <c r="G241" s="398"/>
      <c r="H241" s="398"/>
      <c r="J241" s="219"/>
    </row>
    <row r="242" spans="1:16" s="265" customFormat="1">
      <c r="A242" s="253" t="s">
        <v>775</v>
      </c>
      <c r="B242" s="233" t="s">
        <v>1648</v>
      </c>
      <c r="C242" s="254" t="s">
        <v>71</v>
      </c>
      <c r="D242" s="255">
        <v>438.23</v>
      </c>
      <c r="E242" s="679"/>
      <c r="F242" s="234">
        <f t="shared" si="40"/>
        <v>0</v>
      </c>
      <c r="G242" s="398"/>
      <c r="H242" s="398"/>
      <c r="J242" s="219"/>
    </row>
    <row r="243" spans="1:16" s="265" customFormat="1">
      <c r="A243" s="274"/>
      <c r="B243" s="233"/>
      <c r="C243" s="254"/>
      <c r="D243" s="255"/>
      <c r="E243" s="256"/>
      <c r="F243" s="234"/>
      <c r="G243" s="398"/>
      <c r="H243" s="398"/>
      <c r="J243" s="219"/>
    </row>
    <row r="244" spans="1:16" s="265" customFormat="1" ht="85.5">
      <c r="A244" s="253" t="s">
        <v>776</v>
      </c>
      <c r="B244" s="252" t="s">
        <v>1155</v>
      </c>
      <c r="C244" s="254" t="s">
        <v>10</v>
      </c>
      <c r="D244" s="255">
        <v>23</v>
      </c>
      <c r="E244" s="678"/>
      <c r="F244" s="234">
        <f>(D244*E244)</f>
        <v>0</v>
      </c>
      <c r="G244" s="398"/>
      <c r="H244" s="398"/>
    </row>
    <row r="245" spans="1:16" s="265" customFormat="1">
      <c r="A245" s="253"/>
      <c r="B245" s="252"/>
      <c r="C245" s="257"/>
      <c r="D245" s="258"/>
      <c r="E245" s="259"/>
      <c r="F245" s="251"/>
      <c r="G245" s="398"/>
      <c r="H245" s="398"/>
    </row>
    <row r="246" spans="1:16" s="225" customFormat="1" ht="85.5">
      <c r="A246" s="253" t="s">
        <v>1272</v>
      </c>
      <c r="B246" s="252" t="s">
        <v>1156</v>
      </c>
      <c r="C246" s="254" t="s">
        <v>10</v>
      </c>
      <c r="D246" s="255">
        <v>6</v>
      </c>
      <c r="E246" s="678"/>
      <c r="F246" s="231">
        <f>(D246*E246)</f>
        <v>0</v>
      </c>
      <c r="G246" s="397"/>
      <c r="H246" s="397"/>
    </row>
    <row r="247" spans="1:16" s="225" customFormat="1">
      <c r="A247" s="274"/>
      <c r="B247" s="252"/>
      <c r="C247" s="257"/>
      <c r="D247" s="258"/>
      <c r="E247" s="259"/>
      <c r="F247" s="262"/>
      <c r="G247" s="397"/>
      <c r="H247" s="397"/>
    </row>
    <row r="248" spans="1:16" s="225" customFormat="1" ht="101.25" customHeight="1">
      <c r="A248" s="253" t="s">
        <v>1273</v>
      </c>
      <c r="B248" s="252" t="s">
        <v>336</v>
      </c>
      <c r="C248" s="257" t="s">
        <v>11</v>
      </c>
      <c r="D248" s="258">
        <v>150</v>
      </c>
      <c r="E248" s="678"/>
      <c r="F248" s="262">
        <f>D248*E248</f>
        <v>0</v>
      </c>
      <c r="G248" s="397"/>
      <c r="H248" s="397"/>
    </row>
    <row r="249" spans="1:16" s="225" customFormat="1">
      <c r="A249" s="253"/>
      <c r="B249" s="252"/>
      <c r="C249" s="257"/>
      <c r="D249" s="258"/>
      <c r="E249" s="259"/>
      <c r="F249" s="262"/>
      <c r="G249" s="397"/>
      <c r="H249" s="397"/>
    </row>
    <row r="250" spans="1:16" s="225" customFormat="1" ht="71.25">
      <c r="A250" s="253" t="s">
        <v>1274</v>
      </c>
      <c r="B250" s="252" t="s">
        <v>337</v>
      </c>
      <c r="C250" s="257" t="s">
        <v>11</v>
      </c>
      <c r="D250" s="258">
        <v>150</v>
      </c>
      <c r="E250" s="678"/>
      <c r="F250" s="262">
        <f>D250*E250</f>
        <v>0</v>
      </c>
      <c r="G250" s="397"/>
      <c r="H250" s="397"/>
    </row>
    <row r="251" spans="1:16" s="225" customFormat="1">
      <c r="A251" s="274"/>
      <c r="B251" s="252"/>
      <c r="C251" s="257"/>
      <c r="D251" s="258"/>
      <c r="E251" s="259"/>
      <c r="F251" s="262"/>
      <c r="G251" s="397"/>
      <c r="H251" s="397"/>
    </row>
    <row r="252" spans="1:16" s="225" customFormat="1" ht="28.5">
      <c r="A252" s="253" t="s">
        <v>1275</v>
      </c>
      <c r="B252" s="152" t="s">
        <v>338</v>
      </c>
      <c r="C252" s="257" t="s">
        <v>11</v>
      </c>
      <c r="D252" s="258">
        <v>71</v>
      </c>
      <c r="E252" s="678"/>
      <c r="F252" s="262">
        <f>D252*E252</f>
        <v>0</v>
      </c>
      <c r="G252" s="397"/>
      <c r="H252" s="397"/>
      <c r="J252" s="209"/>
    </row>
    <row r="253" spans="1:16" s="225" customFormat="1">
      <c r="A253" s="253"/>
      <c r="B253" s="152"/>
      <c r="C253" s="257"/>
      <c r="D253" s="258"/>
      <c r="E253" s="259"/>
      <c r="F253" s="262"/>
      <c r="G253" s="397"/>
      <c r="H253" s="397"/>
      <c r="J253" s="209"/>
    </row>
    <row r="254" spans="1:16" s="150" customFormat="1" ht="59.25" customHeight="1">
      <c r="A254" s="253" t="s">
        <v>1374</v>
      </c>
      <c r="B254" s="252" t="s">
        <v>339</v>
      </c>
      <c r="C254" s="257" t="s">
        <v>1159</v>
      </c>
      <c r="D254" s="258">
        <f>D252*0.3</f>
        <v>21.3</v>
      </c>
      <c r="E254" s="678"/>
      <c r="F254" s="262">
        <f>D254*E254</f>
        <v>0</v>
      </c>
      <c r="G254" s="397"/>
      <c r="H254" s="397"/>
      <c r="I254" s="147"/>
      <c r="J254" s="211"/>
      <c r="K254" s="148"/>
      <c r="L254" s="148"/>
      <c r="M254" s="148"/>
      <c r="N254" s="148"/>
      <c r="O254" s="148"/>
      <c r="P254" s="149"/>
    </row>
    <row r="255" spans="1:16" s="150" customFormat="1" ht="14.25">
      <c r="A255" s="274"/>
      <c r="B255" s="252"/>
      <c r="C255" s="257"/>
      <c r="D255" s="258"/>
      <c r="E255" s="259"/>
      <c r="F255" s="262"/>
      <c r="G255" s="397"/>
      <c r="H255" s="397"/>
      <c r="I255" s="147"/>
      <c r="J255" s="211"/>
      <c r="K255" s="148"/>
      <c r="L255" s="148"/>
      <c r="M255" s="148"/>
      <c r="N255" s="148"/>
      <c r="O255" s="148"/>
      <c r="P255" s="149"/>
    </row>
    <row r="256" spans="1:16" s="150" customFormat="1" ht="57" customHeight="1">
      <c r="A256" s="253" t="s">
        <v>1375</v>
      </c>
      <c r="B256" s="252" t="s">
        <v>1151</v>
      </c>
      <c r="C256" s="257" t="s">
        <v>1159</v>
      </c>
      <c r="D256" s="258">
        <f>D252*0.1</f>
        <v>7.1000000000000005</v>
      </c>
      <c r="E256" s="678"/>
      <c r="F256" s="262">
        <f>D256*E256</f>
        <v>0</v>
      </c>
      <c r="G256" s="397"/>
      <c r="H256" s="397"/>
      <c r="I256" s="151"/>
      <c r="J256" s="211"/>
      <c r="K256" s="148"/>
      <c r="L256" s="148"/>
      <c r="M256" s="148"/>
      <c r="N256" s="148"/>
      <c r="O256" s="148"/>
      <c r="P256" s="149"/>
    </row>
    <row r="257" spans="1:16" s="150" customFormat="1" ht="14.25">
      <c r="A257" s="253"/>
      <c r="B257" s="252"/>
      <c r="C257" s="257"/>
      <c r="D257" s="258"/>
      <c r="E257" s="259"/>
      <c r="F257" s="262"/>
      <c r="G257" s="397"/>
      <c r="H257" s="397"/>
      <c r="I257" s="151"/>
      <c r="J257" s="211"/>
      <c r="K257" s="148"/>
      <c r="L257" s="148"/>
      <c r="M257" s="148"/>
      <c r="N257" s="148"/>
      <c r="O257" s="148"/>
      <c r="P257" s="149"/>
    </row>
    <row r="258" spans="1:16" s="150" customFormat="1" ht="28.5">
      <c r="A258" s="253" t="s">
        <v>1376</v>
      </c>
      <c r="B258" s="252" t="s">
        <v>1152</v>
      </c>
      <c r="C258" s="257" t="s">
        <v>1159</v>
      </c>
      <c r="D258" s="258">
        <f>D252*0.02</f>
        <v>1.42</v>
      </c>
      <c r="E258" s="678"/>
      <c r="F258" s="262">
        <f>D258*E258</f>
        <v>0</v>
      </c>
      <c r="G258" s="397"/>
      <c r="H258" s="397"/>
      <c r="I258" s="151"/>
      <c r="J258" s="211"/>
      <c r="K258" s="148"/>
      <c r="L258" s="148"/>
      <c r="M258" s="148"/>
      <c r="N258" s="148"/>
      <c r="O258" s="148"/>
      <c r="P258" s="149"/>
    </row>
    <row r="259" spans="1:16" s="150" customFormat="1" ht="14.25">
      <c r="A259" s="274"/>
      <c r="B259" s="152"/>
      <c r="C259" s="257"/>
      <c r="D259" s="258"/>
      <c r="E259" s="186"/>
      <c r="F259" s="262"/>
      <c r="G259" s="397"/>
      <c r="H259" s="397"/>
      <c r="I259" s="151"/>
      <c r="J259" s="211"/>
      <c r="K259" s="148"/>
      <c r="L259" s="148"/>
      <c r="M259" s="148"/>
      <c r="N259" s="148"/>
      <c r="O259" s="148"/>
      <c r="P259" s="149"/>
    </row>
    <row r="260" spans="1:16" s="225" customFormat="1" ht="42.75">
      <c r="A260" s="253" t="s">
        <v>1377</v>
      </c>
      <c r="B260" s="252" t="s">
        <v>1170</v>
      </c>
      <c r="C260" s="257" t="s">
        <v>217</v>
      </c>
      <c r="D260" s="258">
        <v>22.5</v>
      </c>
      <c r="E260" s="725"/>
      <c r="F260" s="262">
        <f>D260*E260</f>
        <v>0</v>
      </c>
      <c r="G260" s="397"/>
      <c r="H260" s="397"/>
      <c r="J260" s="209"/>
    </row>
    <row r="261" spans="1:16" s="225" customFormat="1">
      <c r="A261" s="253"/>
      <c r="B261" s="152"/>
      <c r="C261" s="257"/>
      <c r="D261" s="152"/>
      <c r="E261" s="152"/>
      <c r="F261" s="262"/>
      <c r="G261" s="397"/>
      <c r="H261" s="397"/>
      <c r="J261" s="209"/>
    </row>
    <row r="262" spans="1:16" s="225" customFormat="1">
      <c r="A262" s="253" t="s">
        <v>1378</v>
      </c>
      <c r="B262" s="152" t="s">
        <v>1157</v>
      </c>
      <c r="C262" s="152" t="s">
        <v>10</v>
      </c>
      <c r="D262" s="152">
        <v>50</v>
      </c>
      <c r="E262" s="725"/>
      <c r="F262" s="262">
        <f>D262*E262</f>
        <v>0</v>
      </c>
      <c r="G262" s="397"/>
      <c r="H262" s="397"/>
      <c r="J262" s="209"/>
    </row>
    <row r="263" spans="1:16" s="225" customFormat="1" ht="15.75" thickBot="1">
      <c r="A263" s="235"/>
      <c r="B263" s="236"/>
      <c r="C263" s="237"/>
      <c r="D263" s="238"/>
      <c r="E263" s="239"/>
      <c r="F263" s="240"/>
      <c r="G263" s="397"/>
      <c r="H263" s="397"/>
      <c r="J263" s="209"/>
    </row>
    <row r="264" spans="1:16" s="225" customFormat="1" ht="16.5" thickTop="1" thickBot="1">
      <c r="A264" s="241" t="s">
        <v>465</v>
      </c>
      <c r="B264" s="242" t="s">
        <v>1669</v>
      </c>
      <c r="C264" s="243"/>
      <c r="D264" s="244"/>
      <c r="E264" s="245"/>
      <c r="F264" s="246">
        <f>SUM(F218:F263)</f>
        <v>0</v>
      </c>
      <c r="G264" s="399"/>
      <c r="H264" s="399"/>
      <c r="J264" s="212"/>
    </row>
    <row r="265" spans="1:16" s="225" customFormat="1" ht="15.75" thickTop="1">
      <c r="A265" s="232"/>
      <c r="B265" s="252"/>
      <c r="C265" s="257"/>
      <c r="D265" s="258"/>
      <c r="E265" s="259"/>
      <c r="F265" s="251"/>
      <c r="G265" s="398"/>
      <c r="H265" s="398"/>
      <c r="J265" s="209"/>
    </row>
    <row r="266" spans="1:16" s="225" customFormat="1">
      <c r="A266" s="227" t="s">
        <v>807</v>
      </c>
      <c r="B266" s="218" t="s">
        <v>1670</v>
      </c>
      <c r="C266" s="228"/>
      <c r="D266" s="229"/>
      <c r="E266" s="230"/>
      <c r="F266" s="231"/>
      <c r="G266" s="397"/>
      <c r="H266" s="397"/>
      <c r="J266" s="209"/>
    </row>
    <row r="267" spans="1:16" s="225" customFormat="1">
      <c r="A267" s="227"/>
      <c r="B267" s="218"/>
      <c r="C267" s="228"/>
      <c r="D267" s="229"/>
      <c r="E267" s="230"/>
      <c r="F267" s="231"/>
      <c r="G267" s="397"/>
      <c r="H267" s="397"/>
      <c r="J267" s="209"/>
    </row>
    <row r="268" spans="1:16" s="225" customFormat="1" ht="102.75" customHeight="1">
      <c r="A268" s="260" t="s">
        <v>808</v>
      </c>
      <c r="B268" s="252" t="s">
        <v>336</v>
      </c>
      <c r="C268" s="257" t="s">
        <v>11</v>
      </c>
      <c r="D268" s="258">
        <v>55</v>
      </c>
      <c r="E268" s="678"/>
      <c r="F268" s="262">
        <f>D268*E268</f>
        <v>0</v>
      </c>
      <c r="G268" s="397"/>
      <c r="H268" s="397"/>
      <c r="J268" s="209"/>
    </row>
    <row r="269" spans="1:16" s="225" customFormat="1">
      <c r="A269" s="260"/>
      <c r="B269" s="252"/>
      <c r="C269" s="257"/>
      <c r="D269" s="258"/>
      <c r="E269" s="259"/>
      <c r="F269" s="262"/>
      <c r="G269" s="397"/>
      <c r="H269" s="397"/>
      <c r="J269" s="209"/>
    </row>
    <row r="270" spans="1:16" s="225" customFormat="1" ht="71.25">
      <c r="A270" s="260" t="s">
        <v>809</v>
      </c>
      <c r="B270" s="252" t="s">
        <v>337</v>
      </c>
      <c r="C270" s="257" t="s">
        <v>11</v>
      </c>
      <c r="D270" s="258">
        <v>55</v>
      </c>
      <c r="E270" s="678"/>
      <c r="F270" s="262">
        <f>D270*E270</f>
        <v>0</v>
      </c>
      <c r="G270" s="397"/>
      <c r="H270" s="397"/>
    </row>
    <row r="271" spans="1:16" s="225" customFormat="1" ht="15.75" thickBot="1">
      <c r="A271" s="235"/>
      <c r="B271" s="236"/>
      <c r="C271" s="237"/>
      <c r="D271" s="238"/>
      <c r="E271" s="239"/>
      <c r="F271" s="240"/>
      <c r="G271" s="397"/>
      <c r="H271" s="397"/>
    </row>
    <row r="272" spans="1:16" s="225" customFormat="1" ht="16.5" thickTop="1" thickBot="1">
      <c r="A272" s="241" t="s">
        <v>807</v>
      </c>
      <c r="B272" s="242" t="s">
        <v>1158</v>
      </c>
      <c r="C272" s="243"/>
      <c r="D272" s="244"/>
      <c r="E272" s="245"/>
      <c r="F272" s="246">
        <f>SUM(F268:F271)</f>
        <v>0</v>
      </c>
      <c r="G272" s="399"/>
      <c r="H272" s="399"/>
    </row>
    <row r="273" spans="1:10" s="225" customFormat="1" ht="15.75" thickTop="1">
      <c r="A273" s="232"/>
      <c r="B273" s="252"/>
      <c r="C273" s="257"/>
      <c r="D273" s="258"/>
      <c r="E273" s="259"/>
      <c r="F273" s="251"/>
      <c r="G273" s="398"/>
      <c r="H273" s="398"/>
      <c r="J273" s="209"/>
    </row>
    <row r="274" spans="1:10" s="225" customFormat="1">
      <c r="A274" s="227" t="s">
        <v>1218</v>
      </c>
      <c r="B274" s="218" t="s">
        <v>303</v>
      </c>
      <c r="C274" s="228"/>
      <c r="D274" s="229"/>
      <c r="E274" s="230"/>
      <c r="F274" s="231"/>
      <c r="G274" s="397"/>
      <c r="H274" s="397"/>
      <c r="J274" s="209"/>
    </row>
    <row r="275" spans="1:10" s="225" customFormat="1">
      <c r="A275" s="227"/>
      <c r="B275" s="218"/>
      <c r="C275" s="228"/>
      <c r="D275" s="229"/>
      <c r="E275" s="230"/>
      <c r="F275" s="231"/>
      <c r="G275" s="397"/>
      <c r="H275" s="397"/>
      <c r="J275" s="209"/>
    </row>
    <row r="276" spans="1:10" s="225" customFormat="1">
      <c r="A276" s="232" t="s">
        <v>1219</v>
      </c>
      <c r="B276" s="233" t="s">
        <v>1093</v>
      </c>
      <c r="C276" s="254" t="s">
        <v>72</v>
      </c>
      <c r="D276" s="255">
        <v>1</v>
      </c>
      <c r="E276" s="679"/>
      <c r="F276" s="234">
        <f>(D276*E276)</f>
        <v>0</v>
      </c>
      <c r="G276" s="398"/>
      <c r="H276" s="398"/>
      <c r="J276" s="209"/>
    </row>
    <row r="277" spans="1:10" s="225" customFormat="1">
      <c r="A277" s="232"/>
      <c r="B277" s="233"/>
      <c r="C277" s="254"/>
      <c r="D277" s="255"/>
      <c r="E277" s="256"/>
      <c r="F277" s="234"/>
      <c r="G277" s="398"/>
      <c r="H277" s="398"/>
      <c r="J277" s="209"/>
    </row>
    <row r="278" spans="1:10" s="225" customFormat="1" ht="28.5">
      <c r="A278" s="232" t="s">
        <v>1220</v>
      </c>
      <c r="B278" s="233" t="s">
        <v>1197</v>
      </c>
      <c r="C278" s="254" t="s">
        <v>40</v>
      </c>
      <c r="D278" s="255">
        <v>20</v>
      </c>
      <c r="E278" s="679"/>
      <c r="F278" s="234">
        <f>(D278*E278)</f>
        <v>0</v>
      </c>
      <c r="G278" s="398"/>
      <c r="H278" s="398"/>
      <c r="J278" s="209"/>
    </row>
    <row r="279" spans="1:10" s="225" customFormat="1">
      <c r="A279" s="232"/>
      <c r="B279" s="233"/>
      <c r="C279" s="254"/>
      <c r="D279" s="255"/>
      <c r="E279" s="256"/>
      <c r="F279" s="234"/>
      <c r="G279" s="398"/>
      <c r="H279" s="398"/>
      <c r="J279" s="209"/>
    </row>
    <row r="280" spans="1:10" s="225" customFormat="1" ht="28.5">
      <c r="A280" s="232" t="s">
        <v>1221</v>
      </c>
      <c r="B280" s="233" t="s">
        <v>306</v>
      </c>
      <c r="C280" s="254" t="s">
        <v>40</v>
      </c>
      <c r="D280" s="255">
        <v>5.25</v>
      </c>
      <c r="E280" s="679"/>
      <c r="F280" s="234">
        <f>(D280*E280)</f>
        <v>0</v>
      </c>
      <c r="G280" s="398"/>
      <c r="H280" s="398"/>
      <c r="J280" s="209"/>
    </row>
    <row r="281" spans="1:10" s="225" customFormat="1">
      <c r="A281" s="232"/>
      <c r="B281" s="233"/>
      <c r="C281" s="254"/>
      <c r="D281" s="255"/>
      <c r="E281" s="256"/>
      <c r="F281" s="234"/>
      <c r="G281" s="398"/>
      <c r="H281" s="398"/>
      <c r="J281" s="209"/>
    </row>
    <row r="282" spans="1:10" s="225" customFormat="1" ht="57">
      <c r="A282" s="232" t="s">
        <v>1222</v>
      </c>
      <c r="B282" s="233" t="s">
        <v>1235</v>
      </c>
      <c r="C282" s="254" t="s">
        <v>72</v>
      </c>
      <c r="D282" s="255">
        <v>1</v>
      </c>
      <c r="E282" s="679"/>
      <c r="F282" s="234">
        <f t="shared" ref="F282" si="41">(D282*E282)</f>
        <v>0</v>
      </c>
      <c r="G282" s="398"/>
      <c r="H282" s="398"/>
      <c r="J282" s="209"/>
    </row>
    <row r="283" spans="1:10" s="225" customFormat="1">
      <c r="A283" s="232"/>
      <c r="B283" s="233"/>
      <c r="C283" s="254"/>
      <c r="D283" s="255"/>
      <c r="E283" s="256"/>
      <c r="F283" s="234"/>
      <c r="G283" s="398"/>
      <c r="H283" s="398"/>
      <c r="J283" s="209"/>
    </row>
    <row r="284" spans="1:10" s="225" customFormat="1" ht="31.5" customHeight="1">
      <c r="A284" s="232" t="s">
        <v>1223</v>
      </c>
      <c r="B284" s="233" t="s">
        <v>1236</v>
      </c>
      <c r="C284" s="254" t="s">
        <v>40</v>
      </c>
      <c r="D284" s="255">
        <v>0.128</v>
      </c>
      <c r="E284" s="679"/>
      <c r="F284" s="234">
        <f t="shared" ref="F284" si="42">(D284*E284)</f>
        <v>0</v>
      </c>
      <c r="G284" s="398"/>
      <c r="H284" s="398"/>
      <c r="J284" s="209"/>
    </row>
    <row r="285" spans="1:10" s="225" customFormat="1">
      <c r="A285" s="232"/>
      <c r="B285" s="233"/>
      <c r="C285" s="254"/>
      <c r="D285" s="255"/>
      <c r="E285" s="256"/>
      <c r="F285" s="234"/>
      <c r="G285" s="398"/>
      <c r="H285" s="398"/>
      <c r="J285" s="209"/>
    </row>
    <row r="286" spans="1:10" s="225" customFormat="1">
      <c r="A286" s="232" t="s">
        <v>1224</v>
      </c>
      <c r="B286" s="233" t="s">
        <v>1237</v>
      </c>
      <c r="C286" s="254" t="s">
        <v>40</v>
      </c>
      <c r="D286" s="255">
        <v>0.57999999999999996</v>
      </c>
      <c r="E286" s="679"/>
      <c r="F286" s="234">
        <f t="shared" ref="F286" si="43">(D286*E286)</f>
        <v>0</v>
      </c>
      <c r="G286" s="398"/>
      <c r="H286" s="398"/>
      <c r="J286" s="209"/>
    </row>
    <row r="287" spans="1:10" s="225" customFormat="1">
      <c r="A287" s="232"/>
      <c r="B287" s="233"/>
      <c r="C287" s="254"/>
      <c r="D287" s="255"/>
      <c r="E287" s="256"/>
      <c r="F287" s="234"/>
      <c r="G287" s="398"/>
      <c r="H287" s="398"/>
      <c r="J287" s="209"/>
    </row>
    <row r="288" spans="1:10" s="225" customFormat="1" ht="28.5">
      <c r="A288" s="232" t="s">
        <v>1225</v>
      </c>
      <c r="B288" s="233" t="s">
        <v>1238</v>
      </c>
      <c r="C288" s="254" t="s">
        <v>40</v>
      </c>
      <c r="D288" s="255">
        <v>1.0900000000000001</v>
      </c>
      <c r="E288" s="679"/>
      <c r="F288" s="234">
        <f t="shared" ref="F288" si="44">(D288*E288)</f>
        <v>0</v>
      </c>
      <c r="G288" s="398"/>
      <c r="H288" s="398"/>
      <c r="J288" s="209"/>
    </row>
    <row r="289" spans="1:10" s="225" customFormat="1">
      <c r="A289" s="232"/>
      <c r="B289" s="233"/>
      <c r="C289" s="254"/>
      <c r="D289" s="255"/>
      <c r="E289" s="256"/>
      <c r="F289" s="234"/>
      <c r="G289" s="398"/>
      <c r="H289" s="398"/>
      <c r="J289" s="209"/>
    </row>
    <row r="290" spans="1:10" s="225" customFormat="1">
      <c r="A290" s="232" t="s">
        <v>1226</v>
      </c>
      <c r="B290" s="233" t="s">
        <v>1239</v>
      </c>
      <c r="C290" s="254" t="s">
        <v>40</v>
      </c>
      <c r="D290" s="255">
        <v>4.38</v>
      </c>
      <c r="E290" s="679"/>
      <c r="F290" s="234">
        <f t="shared" ref="F290" si="45">(D290*E290)</f>
        <v>0</v>
      </c>
      <c r="G290" s="398"/>
      <c r="H290" s="398"/>
      <c r="J290" s="209"/>
    </row>
    <row r="291" spans="1:10" s="225" customFormat="1">
      <c r="A291" s="232"/>
      <c r="B291" s="233"/>
      <c r="C291" s="254"/>
      <c r="D291" s="255"/>
      <c r="E291" s="256"/>
      <c r="F291" s="234"/>
      <c r="G291" s="398"/>
      <c r="H291" s="398"/>
      <c r="J291" s="209"/>
    </row>
    <row r="292" spans="1:10" s="225" customFormat="1">
      <c r="A292" s="232" t="s">
        <v>1227</v>
      </c>
      <c r="B292" s="233" t="s">
        <v>1240</v>
      </c>
      <c r="C292" s="254" t="s">
        <v>40</v>
      </c>
      <c r="D292" s="255">
        <v>4.67</v>
      </c>
      <c r="E292" s="679"/>
      <c r="F292" s="234">
        <f t="shared" ref="F292" si="46">(D292*E292)</f>
        <v>0</v>
      </c>
      <c r="G292" s="398"/>
      <c r="H292" s="398"/>
      <c r="J292" s="209"/>
    </row>
    <row r="293" spans="1:10" s="225" customFormat="1">
      <c r="A293" s="232"/>
      <c r="B293" s="233"/>
      <c r="C293" s="254"/>
      <c r="D293" s="255"/>
      <c r="E293" s="256"/>
      <c r="F293" s="234"/>
      <c r="G293" s="398"/>
      <c r="H293" s="398"/>
      <c r="J293" s="209"/>
    </row>
    <row r="294" spans="1:10" s="225" customFormat="1" ht="28.5">
      <c r="A294" s="232" t="s">
        <v>1228</v>
      </c>
      <c r="B294" s="233" t="s">
        <v>1563</v>
      </c>
      <c r="C294" s="254" t="s">
        <v>40</v>
      </c>
      <c r="D294" s="255">
        <v>3.29</v>
      </c>
      <c r="E294" s="679"/>
      <c r="F294" s="234">
        <f t="shared" ref="F294" si="47">(D294*E294)</f>
        <v>0</v>
      </c>
      <c r="G294" s="398"/>
      <c r="H294" s="398"/>
      <c r="J294" s="209"/>
    </row>
    <row r="295" spans="1:10" s="225" customFormat="1">
      <c r="A295" s="232"/>
      <c r="B295" s="233"/>
      <c r="C295" s="254"/>
      <c r="D295" s="255"/>
      <c r="E295" s="256"/>
      <c r="F295" s="234"/>
      <c r="G295" s="398"/>
      <c r="H295" s="398"/>
      <c r="J295" s="209"/>
    </row>
    <row r="296" spans="1:10" s="225" customFormat="1">
      <c r="A296" s="232" t="s">
        <v>1229</v>
      </c>
      <c r="B296" s="233" t="s">
        <v>1241</v>
      </c>
      <c r="C296" s="254" t="s">
        <v>11</v>
      </c>
      <c r="D296" s="255">
        <v>3.84</v>
      </c>
      <c r="E296" s="679"/>
      <c r="F296" s="234">
        <f t="shared" ref="F296" si="48">(D296*E296)</f>
        <v>0</v>
      </c>
      <c r="G296" s="398"/>
      <c r="H296" s="398"/>
      <c r="J296" s="209"/>
    </row>
    <row r="297" spans="1:10" s="225" customFormat="1">
      <c r="A297" s="232"/>
      <c r="B297" s="233"/>
      <c r="C297" s="254"/>
      <c r="D297" s="255"/>
      <c r="E297" s="256"/>
      <c r="F297" s="234"/>
      <c r="G297" s="398"/>
      <c r="H297" s="398"/>
      <c r="J297" s="209"/>
    </row>
    <row r="298" spans="1:10" s="225" customFormat="1">
      <c r="A298" s="232" t="s">
        <v>1258</v>
      </c>
      <c r="B298" s="233" t="s">
        <v>1242</v>
      </c>
      <c r="C298" s="254" t="s">
        <v>11</v>
      </c>
      <c r="D298" s="255">
        <v>17.54</v>
      </c>
      <c r="E298" s="679"/>
      <c r="F298" s="234">
        <f t="shared" ref="F298" si="49">(D298*E298)</f>
        <v>0</v>
      </c>
      <c r="G298" s="398"/>
      <c r="H298" s="398"/>
      <c r="J298" s="209"/>
    </row>
    <row r="299" spans="1:10" s="225" customFormat="1">
      <c r="A299" s="232"/>
      <c r="B299" s="233"/>
      <c r="C299" s="254"/>
      <c r="D299" s="255"/>
      <c r="E299" s="256"/>
      <c r="F299" s="234"/>
      <c r="G299" s="398"/>
      <c r="H299" s="398"/>
      <c r="J299" s="209"/>
    </row>
    <row r="300" spans="1:10" s="225" customFormat="1" ht="45.75" customHeight="1">
      <c r="A300" s="232" t="s">
        <v>1259</v>
      </c>
      <c r="B300" s="233" t="s">
        <v>1243</v>
      </c>
      <c r="C300" s="254" t="s">
        <v>11</v>
      </c>
      <c r="D300" s="255">
        <v>17.309999999999999</v>
      </c>
      <c r="E300" s="679"/>
      <c r="F300" s="234">
        <f t="shared" ref="F300" si="50">(D300*E300)</f>
        <v>0</v>
      </c>
      <c r="G300" s="398"/>
      <c r="H300" s="398"/>
      <c r="J300" s="209"/>
    </row>
    <row r="301" spans="1:10" s="225" customFormat="1">
      <c r="A301" s="232"/>
      <c r="B301" s="233"/>
      <c r="C301" s="254"/>
      <c r="D301" s="255"/>
      <c r="E301" s="256"/>
      <c r="F301" s="234"/>
      <c r="G301" s="398"/>
      <c r="H301" s="398"/>
      <c r="J301" s="209"/>
    </row>
    <row r="302" spans="1:10" s="225" customFormat="1" ht="28.5">
      <c r="A302" s="232" t="s">
        <v>1260</v>
      </c>
      <c r="B302" s="233" t="s">
        <v>1244</v>
      </c>
      <c r="C302" s="254" t="s">
        <v>11</v>
      </c>
      <c r="D302" s="255">
        <v>18.649999999999999</v>
      </c>
      <c r="E302" s="679"/>
      <c r="F302" s="234">
        <f t="shared" ref="F302" si="51">(D302*E302)</f>
        <v>0</v>
      </c>
      <c r="G302" s="398"/>
      <c r="H302" s="398"/>
      <c r="J302" s="209"/>
    </row>
    <row r="303" spans="1:10" s="225" customFormat="1">
      <c r="A303" s="232"/>
      <c r="B303" s="233"/>
      <c r="C303" s="254"/>
      <c r="D303" s="255"/>
      <c r="E303" s="256"/>
      <c r="F303" s="234"/>
      <c r="G303" s="398"/>
      <c r="H303" s="398"/>
      <c r="J303" s="209"/>
    </row>
    <row r="304" spans="1:10" s="225" customFormat="1">
      <c r="A304" s="232" t="s">
        <v>1261</v>
      </c>
      <c r="B304" s="233" t="s">
        <v>1245</v>
      </c>
      <c r="C304" s="254" t="s">
        <v>11</v>
      </c>
      <c r="D304" s="255">
        <v>3.44</v>
      </c>
      <c r="E304" s="679"/>
      <c r="F304" s="234">
        <f t="shared" ref="F304" si="52">(D304*E304)</f>
        <v>0</v>
      </c>
      <c r="G304" s="398"/>
      <c r="H304" s="398"/>
      <c r="J304" s="209"/>
    </row>
    <row r="305" spans="1:10" s="225" customFormat="1">
      <c r="A305" s="232"/>
      <c r="B305" s="233"/>
      <c r="C305" s="254"/>
      <c r="D305" s="255"/>
      <c r="E305" s="256"/>
      <c r="F305" s="234"/>
      <c r="G305" s="398"/>
      <c r="H305" s="398"/>
      <c r="J305" s="209"/>
    </row>
    <row r="306" spans="1:10" s="225" customFormat="1">
      <c r="A306" s="232" t="s">
        <v>1262</v>
      </c>
      <c r="B306" s="233" t="s">
        <v>1246</v>
      </c>
      <c r="C306" s="254" t="s">
        <v>11</v>
      </c>
      <c r="D306" s="255">
        <v>0.628</v>
      </c>
      <c r="E306" s="679"/>
      <c r="F306" s="234">
        <f t="shared" ref="F306" si="53">(D306*E306)</f>
        <v>0</v>
      </c>
      <c r="G306" s="398"/>
      <c r="H306" s="398"/>
      <c r="J306" s="209"/>
    </row>
    <row r="307" spans="1:10" s="225" customFormat="1">
      <c r="A307" s="232"/>
      <c r="B307" s="233"/>
      <c r="C307" s="254"/>
      <c r="D307" s="255"/>
      <c r="E307" s="256"/>
      <c r="F307" s="234"/>
      <c r="G307" s="398"/>
      <c r="H307" s="398"/>
      <c r="J307" s="209"/>
    </row>
    <row r="308" spans="1:10" s="225" customFormat="1">
      <c r="A308" s="232" t="s">
        <v>1263</v>
      </c>
      <c r="B308" s="233" t="s">
        <v>1648</v>
      </c>
      <c r="C308" s="254" t="s">
        <v>71</v>
      </c>
      <c r="D308" s="255">
        <v>777.56</v>
      </c>
      <c r="E308" s="679"/>
      <c r="F308" s="234">
        <f t="shared" ref="F308" si="54">(D308*E308)</f>
        <v>0</v>
      </c>
      <c r="G308" s="398"/>
      <c r="H308" s="398"/>
      <c r="J308" s="209"/>
    </row>
    <row r="309" spans="1:10" s="225" customFormat="1">
      <c r="A309" s="232"/>
      <c r="B309" s="233"/>
      <c r="C309" s="254"/>
      <c r="D309" s="255"/>
      <c r="E309" s="256"/>
      <c r="F309" s="234"/>
      <c r="G309" s="398"/>
      <c r="H309" s="398"/>
      <c r="J309" s="209"/>
    </row>
    <row r="310" spans="1:10" s="225" customFormat="1">
      <c r="A310" s="232" t="s">
        <v>1264</v>
      </c>
      <c r="B310" s="233" t="s">
        <v>1247</v>
      </c>
      <c r="C310" s="254" t="s">
        <v>71</v>
      </c>
      <c r="D310" s="255">
        <v>329.14</v>
      </c>
      <c r="E310" s="679"/>
      <c r="F310" s="234">
        <f t="shared" ref="F310" si="55">(D310*E310)</f>
        <v>0</v>
      </c>
      <c r="G310" s="398"/>
      <c r="H310" s="398"/>
      <c r="J310" s="209"/>
    </row>
    <row r="311" spans="1:10" s="225" customFormat="1">
      <c r="A311" s="232"/>
      <c r="B311" s="233"/>
      <c r="C311" s="254"/>
      <c r="D311" s="255"/>
      <c r="E311" s="256"/>
      <c r="F311" s="234"/>
      <c r="G311" s="398"/>
      <c r="H311" s="398"/>
      <c r="J311" s="209"/>
    </row>
    <row r="312" spans="1:10" s="225" customFormat="1" ht="85.5">
      <c r="A312" s="232" t="s">
        <v>1265</v>
      </c>
      <c r="B312" s="233" t="s">
        <v>1310</v>
      </c>
      <c r="C312" s="254" t="s">
        <v>11</v>
      </c>
      <c r="D312" s="255">
        <v>75</v>
      </c>
      <c r="E312" s="679"/>
      <c r="F312" s="234">
        <f>(E312*D312)</f>
        <v>0</v>
      </c>
      <c r="G312" s="398"/>
      <c r="H312" s="398"/>
      <c r="J312" s="209"/>
    </row>
    <row r="313" spans="1:10" s="225" customFormat="1">
      <c r="A313" s="232"/>
      <c r="B313" s="233"/>
      <c r="C313" s="254"/>
      <c r="D313" s="255"/>
      <c r="E313" s="256"/>
      <c r="F313" s="234"/>
      <c r="G313" s="398"/>
      <c r="H313" s="398"/>
      <c r="J313" s="209"/>
    </row>
    <row r="314" spans="1:10" s="225" customFormat="1" ht="85.5">
      <c r="A314" s="232" t="s">
        <v>1266</v>
      </c>
      <c r="B314" s="233" t="s">
        <v>1571</v>
      </c>
      <c r="C314" s="254" t="s">
        <v>71</v>
      </c>
      <c r="D314" s="255">
        <v>498</v>
      </c>
      <c r="E314" s="679"/>
      <c r="F314" s="234">
        <f>(D314*E314)</f>
        <v>0</v>
      </c>
      <c r="G314" s="398"/>
      <c r="H314" s="398"/>
      <c r="J314" s="209"/>
    </row>
    <row r="315" spans="1:10" s="225" customFormat="1">
      <c r="A315" s="232"/>
      <c r="B315" s="233"/>
      <c r="C315" s="254"/>
      <c r="D315" s="255"/>
      <c r="E315" s="256"/>
      <c r="F315" s="234"/>
      <c r="G315" s="398"/>
      <c r="H315" s="398"/>
      <c r="J315" s="209"/>
    </row>
    <row r="316" spans="1:10" s="225" customFormat="1" ht="57">
      <c r="A316" s="232" t="s">
        <v>1267</v>
      </c>
      <c r="B316" s="233" t="s">
        <v>307</v>
      </c>
      <c r="C316" s="254" t="s">
        <v>11</v>
      </c>
      <c r="D316" s="255">
        <v>10</v>
      </c>
      <c r="E316" s="679"/>
      <c r="F316" s="234">
        <f>(D316*E316)</f>
        <v>0</v>
      </c>
      <c r="G316" s="398"/>
      <c r="H316" s="398"/>
      <c r="J316" s="209"/>
    </row>
    <row r="317" spans="1:10" s="225" customFormat="1">
      <c r="A317" s="232"/>
      <c r="B317" s="233"/>
      <c r="C317" s="254"/>
      <c r="D317" s="255"/>
      <c r="E317" s="256"/>
      <c r="F317" s="234"/>
      <c r="G317" s="398"/>
      <c r="H317" s="398"/>
      <c r="J317" s="209"/>
    </row>
    <row r="318" spans="1:10" s="225" customFormat="1" ht="60" customHeight="1">
      <c r="A318" s="232" t="s">
        <v>1268</v>
      </c>
      <c r="B318" s="233" t="s">
        <v>1160</v>
      </c>
      <c r="C318" s="254" t="s">
        <v>11</v>
      </c>
      <c r="D318" s="255">
        <v>11</v>
      </c>
      <c r="E318" s="679"/>
      <c r="F318" s="234">
        <f>(D318*E318)</f>
        <v>0</v>
      </c>
      <c r="G318" s="398"/>
      <c r="H318" s="398"/>
      <c r="J318" s="209"/>
    </row>
    <row r="319" spans="1:10" s="225" customFormat="1">
      <c r="A319" s="232"/>
      <c r="B319" s="233"/>
      <c r="C319" s="254"/>
      <c r="D319" s="255"/>
      <c r="E319" s="256"/>
      <c r="F319" s="234"/>
      <c r="G319" s="398"/>
      <c r="H319" s="398"/>
      <c r="J319" s="209"/>
    </row>
    <row r="320" spans="1:10" s="225" customFormat="1" ht="28.5">
      <c r="A320" s="232" t="s">
        <v>1269</v>
      </c>
      <c r="B320" s="233" t="s">
        <v>338</v>
      </c>
      <c r="C320" s="254" t="s">
        <v>1646</v>
      </c>
      <c r="D320" s="255">
        <v>13.5</v>
      </c>
      <c r="E320" s="679"/>
      <c r="F320" s="234">
        <f>D320*E320</f>
        <v>0</v>
      </c>
      <c r="G320" s="398"/>
      <c r="H320" s="398"/>
      <c r="J320" s="209"/>
    </row>
    <row r="321" spans="1:10" s="225" customFormat="1">
      <c r="A321" s="232"/>
      <c r="B321" s="233"/>
      <c r="C321" s="254"/>
      <c r="D321" s="255"/>
      <c r="E321" s="256"/>
      <c r="F321" s="234"/>
      <c r="G321" s="398"/>
      <c r="H321" s="398"/>
      <c r="J321" s="209"/>
    </row>
    <row r="322" spans="1:10" s="225" customFormat="1" ht="60" customHeight="1">
      <c r="A322" s="232" t="s">
        <v>1270</v>
      </c>
      <c r="B322" s="233" t="s">
        <v>339</v>
      </c>
      <c r="C322" s="254" t="s">
        <v>1645</v>
      </c>
      <c r="D322" s="255">
        <v>13.5</v>
      </c>
      <c r="E322" s="679"/>
      <c r="F322" s="234">
        <f>D322*E322</f>
        <v>0</v>
      </c>
      <c r="G322" s="398"/>
      <c r="H322" s="398"/>
      <c r="J322" s="209"/>
    </row>
    <row r="323" spans="1:10" s="225" customFormat="1">
      <c r="A323" s="232"/>
      <c r="B323" s="233"/>
      <c r="C323" s="254"/>
      <c r="D323" s="255"/>
      <c r="E323" s="256"/>
      <c r="F323" s="234"/>
      <c r="G323" s="398"/>
      <c r="H323" s="398"/>
      <c r="J323" s="209"/>
    </row>
    <row r="324" spans="1:10" s="225" customFormat="1" ht="60" customHeight="1">
      <c r="A324" s="232" t="s">
        <v>1276</v>
      </c>
      <c r="B324" s="233" t="s">
        <v>1151</v>
      </c>
      <c r="C324" s="254" t="s">
        <v>1645</v>
      </c>
      <c r="D324" s="255">
        <v>13.5</v>
      </c>
      <c r="E324" s="679"/>
      <c r="F324" s="234">
        <f>D324*E324</f>
        <v>0</v>
      </c>
      <c r="G324" s="398"/>
      <c r="H324" s="398"/>
      <c r="J324" s="209"/>
    </row>
    <row r="325" spans="1:10" s="225" customFormat="1">
      <c r="A325" s="232"/>
      <c r="B325" s="252"/>
      <c r="C325" s="257"/>
      <c r="D325" s="258"/>
      <c r="E325" s="259"/>
      <c r="F325" s="234"/>
      <c r="G325" s="398"/>
      <c r="H325" s="398"/>
      <c r="I325" s="265"/>
      <c r="J325" s="265"/>
    </row>
    <row r="326" spans="1:10" s="225" customFormat="1" ht="28.5">
      <c r="A326" s="232" t="s">
        <v>1277</v>
      </c>
      <c r="B326" s="252" t="s">
        <v>1152</v>
      </c>
      <c r="C326" s="257" t="s">
        <v>1645</v>
      </c>
      <c r="D326" s="258">
        <v>13.5</v>
      </c>
      <c r="E326" s="678"/>
      <c r="F326" s="234">
        <f>D326*E326</f>
        <v>0</v>
      </c>
      <c r="G326" s="398"/>
      <c r="H326" s="398"/>
      <c r="I326" s="265"/>
      <c r="J326" s="265"/>
    </row>
    <row r="327" spans="1:10" s="225" customFormat="1">
      <c r="A327" s="232"/>
      <c r="B327" s="252"/>
      <c r="C327" s="257"/>
      <c r="D327" s="258"/>
      <c r="E327" s="259"/>
      <c r="F327" s="234"/>
      <c r="G327" s="398"/>
      <c r="H327" s="398"/>
    </row>
    <row r="328" spans="1:10" s="225" customFormat="1" ht="28.5">
      <c r="A328" s="232" t="s">
        <v>1564</v>
      </c>
      <c r="B328" s="252" t="s">
        <v>1088</v>
      </c>
      <c r="C328" s="257" t="s">
        <v>1647</v>
      </c>
      <c r="D328" s="258">
        <v>16.5</v>
      </c>
      <c r="E328" s="678"/>
      <c r="F328" s="234">
        <f>D328*E328</f>
        <v>0</v>
      </c>
      <c r="G328" s="398"/>
      <c r="H328" s="398"/>
    </row>
    <row r="329" spans="1:10" s="225" customFormat="1" ht="15.75" thickBot="1">
      <c r="A329" s="235"/>
      <c r="B329" s="236"/>
      <c r="C329" s="237"/>
      <c r="D329" s="238"/>
      <c r="E329" s="239"/>
      <c r="F329" s="240"/>
      <c r="G329" s="397"/>
      <c r="H329" s="397"/>
      <c r="J329" s="209"/>
    </row>
    <row r="330" spans="1:10" ht="16.5" thickTop="1" thickBot="1">
      <c r="A330" s="241" t="s">
        <v>1218</v>
      </c>
      <c r="B330" s="242" t="s">
        <v>805</v>
      </c>
      <c r="C330" s="243"/>
      <c r="D330" s="244"/>
      <c r="E330" s="245"/>
      <c r="F330" s="246">
        <f>SUM(F276:F329)</f>
        <v>0</v>
      </c>
      <c r="G330" s="399"/>
      <c r="H330" s="399"/>
    </row>
    <row r="331" spans="1:10" ht="15.75" thickTop="1">
      <c r="A331" s="232"/>
      <c r="B331" s="252"/>
      <c r="C331" s="257"/>
      <c r="D331" s="258"/>
      <c r="E331" s="259"/>
      <c r="F331" s="251"/>
      <c r="G331" s="398"/>
      <c r="H331" s="398"/>
    </row>
    <row r="332" spans="1:10">
      <c r="A332" s="227" t="s">
        <v>1230</v>
      </c>
      <c r="B332" s="271" t="s">
        <v>304</v>
      </c>
      <c r="C332" s="228"/>
      <c r="D332" s="229"/>
      <c r="E332" s="230"/>
      <c r="F332" s="234"/>
      <c r="G332" s="398"/>
      <c r="H332" s="398"/>
    </row>
    <row r="333" spans="1:10">
      <c r="A333" s="227"/>
      <c r="B333" s="271"/>
      <c r="C333" s="228"/>
      <c r="D333" s="229"/>
      <c r="E333" s="230"/>
      <c r="F333" s="234"/>
      <c r="G333" s="398"/>
      <c r="H333" s="398"/>
    </row>
    <row r="334" spans="1:10">
      <c r="A334" s="232" t="s">
        <v>1278</v>
      </c>
      <c r="B334" s="233" t="s">
        <v>1093</v>
      </c>
      <c r="C334" s="254" t="s">
        <v>72</v>
      </c>
      <c r="D334" s="255">
        <v>1</v>
      </c>
      <c r="E334" s="679"/>
      <c r="F334" s="234">
        <f>(D334*E334)</f>
        <v>0</v>
      </c>
      <c r="G334" s="398"/>
      <c r="H334" s="398"/>
    </row>
    <row r="335" spans="1:10" s="225" customFormat="1">
      <c r="A335" s="232"/>
      <c r="B335" s="233"/>
      <c r="C335" s="254"/>
      <c r="D335" s="255"/>
      <c r="E335" s="256"/>
      <c r="F335" s="234"/>
      <c r="G335" s="398"/>
      <c r="H335" s="398"/>
      <c r="J335" s="209"/>
    </row>
    <row r="336" spans="1:10" s="225" customFormat="1">
      <c r="A336" s="232" t="s">
        <v>1279</v>
      </c>
      <c r="B336" s="233" t="s">
        <v>1195</v>
      </c>
      <c r="C336" s="254" t="s">
        <v>40</v>
      </c>
      <c r="D336" s="255">
        <v>15</v>
      </c>
      <c r="E336" s="679"/>
      <c r="F336" s="234">
        <f t="shared" ref="F336" si="56">(D336*E336)</f>
        <v>0</v>
      </c>
      <c r="G336" s="398"/>
      <c r="H336" s="398"/>
      <c r="J336" s="209"/>
    </row>
    <row r="337" spans="1:10" s="225" customFormat="1">
      <c r="A337" s="232"/>
      <c r="B337" s="233"/>
      <c r="C337" s="254"/>
      <c r="D337" s="255"/>
      <c r="E337" s="256"/>
      <c r="F337" s="234"/>
      <c r="G337" s="398"/>
      <c r="H337" s="398"/>
      <c r="J337" s="209"/>
    </row>
    <row r="338" spans="1:10" s="225" customFormat="1">
      <c r="A338" s="232" t="s">
        <v>1280</v>
      </c>
      <c r="B338" s="233" t="s">
        <v>1196</v>
      </c>
      <c r="C338" s="254" t="s">
        <v>40</v>
      </c>
      <c r="D338" s="255">
        <v>1</v>
      </c>
      <c r="E338" s="679"/>
      <c r="F338" s="234">
        <f t="shared" ref="F338" si="57">(D338*E338)</f>
        <v>0</v>
      </c>
      <c r="G338" s="398"/>
      <c r="H338" s="398"/>
      <c r="J338" s="209"/>
    </row>
    <row r="339" spans="1:10" s="225" customFormat="1">
      <c r="A339" s="232"/>
      <c r="B339" s="233"/>
      <c r="C339" s="254"/>
      <c r="D339" s="255"/>
      <c r="E339" s="256"/>
      <c r="F339" s="234"/>
      <c r="G339" s="398"/>
      <c r="H339" s="398"/>
      <c r="J339" s="209"/>
    </row>
    <row r="340" spans="1:10" s="225" customFormat="1" ht="42.75">
      <c r="A340" s="232" t="s">
        <v>1281</v>
      </c>
      <c r="B340" s="233" t="s">
        <v>1248</v>
      </c>
      <c r="C340" s="254" t="s">
        <v>40</v>
      </c>
      <c r="D340" s="255">
        <v>15</v>
      </c>
      <c r="E340" s="679"/>
      <c r="F340" s="234">
        <f t="shared" ref="F340" si="58">(D340*E340)</f>
        <v>0</v>
      </c>
      <c r="G340" s="398"/>
      <c r="H340" s="398"/>
      <c r="J340" s="209"/>
    </row>
    <row r="341" spans="1:10" s="225" customFormat="1">
      <c r="A341" s="232"/>
      <c r="B341" s="233"/>
      <c r="C341" s="254"/>
      <c r="D341" s="255"/>
      <c r="E341" s="256"/>
      <c r="F341" s="234"/>
      <c r="G341" s="398"/>
      <c r="H341" s="398"/>
      <c r="J341" s="209"/>
    </row>
    <row r="342" spans="1:10" s="225" customFormat="1" ht="45" customHeight="1">
      <c r="A342" s="232" t="s">
        <v>1282</v>
      </c>
      <c r="B342" s="233" t="s">
        <v>1671</v>
      </c>
      <c r="C342" s="254" t="s">
        <v>40</v>
      </c>
      <c r="D342" s="255">
        <v>1</v>
      </c>
      <c r="E342" s="679"/>
      <c r="F342" s="234">
        <f t="shared" ref="F342" si="59">(D342*E342)</f>
        <v>0</v>
      </c>
      <c r="G342" s="398"/>
      <c r="H342" s="398"/>
      <c r="J342" s="209"/>
    </row>
    <row r="343" spans="1:10" s="225" customFormat="1">
      <c r="A343" s="232"/>
      <c r="B343" s="233"/>
      <c r="C343" s="254"/>
      <c r="D343" s="255"/>
      <c r="E343" s="256"/>
      <c r="F343" s="234"/>
      <c r="G343" s="398"/>
      <c r="H343" s="398"/>
      <c r="J343" s="209"/>
    </row>
    <row r="344" spans="1:10" ht="28.5">
      <c r="A344" s="232" t="s">
        <v>1283</v>
      </c>
      <c r="B344" s="252" t="s">
        <v>306</v>
      </c>
      <c r="C344" s="257" t="s">
        <v>40</v>
      </c>
      <c r="D344" s="258">
        <v>4</v>
      </c>
      <c r="E344" s="678"/>
      <c r="F344" s="234">
        <f>(D344*E344)</f>
        <v>0</v>
      </c>
      <c r="G344" s="398"/>
      <c r="H344" s="398"/>
    </row>
    <row r="345" spans="1:10" s="225" customFormat="1">
      <c r="A345" s="232"/>
      <c r="B345" s="252"/>
      <c r="C345" s="257"/>
      <c r="D345" s="258"/>
      <c r="E345" s="259"/>
      <c r="F345" s="234"/>
      <c r="G345" s="398"/>
      <c r="H345" s="398"/>
      <c r="J345" s="209"/>
    </row>
    <row r="346" spans="1:10" s="225" customFormat="1" ht="28.5">
      <c r="A346" s="232" t="s">
        <v>1284</v>
      </c>
      <c r="B346" s="252" t="s">
        <v>1249</v>
      </c>
      <c r="C346" s="257" t="s">
        <v>40</v>
      </c>
      <c r="D346" s="258">
        <v>0.25600000000000001</v>
      </c>
      <c r="E346" s="678"/>
      <c r="F346" s="234">
        <f t="shared" ref="F346" si="60">(D346*E346)</f>
        <v>0</v>
      </c>
      <c r="G346" s="398"/>
      <c r="H346" s="398"/>
      <c r="J346" s="209"/>
    </row>
    <row r="347" spans="1:10" s="225" customFormat="1">
      <c r="A347" s="232"/>
      <c r="B347" s="252"/>
      <c r="C347" s="257"/>
      <c r="D347" s="258"/>
      <c r="E347" s="259"/>
      <c r="F347" s="234"/>
      <c r="G347" s="398"/>
      <c r="H347" s="398"/>
      <c r="J347" s="209"/>
    </row>
    <row r="348" spans="1:10" s="225" customFormat="1">
      <c r="A348" s="232" t="s">
        <v>1285</v>
      </c>
      <c r="B348" s="252" t="s">
        <v>1250</v>
      </c>
      <c r="C348" s="257" t="s">
        <v>40</v>
      </c>
      <c r="D348" s="258">
        <v>1.1599999999999999</v>
      </c>
      <c r="E348" s="678"/>
      <c r="F348" s="234">
        <f t="shared" ref="F348" si="61">(D348*E348)</f>
        <v>0</v>
      </c>
      <c r="G348" s="398"/>
      <c r="H348" s="398"/>
      <c r="J348" s="209"/>
    </row>
    <row r="349" spans="1:10" s="225" customFormat="1">
      <c r="A349" s="232"/>
      <c r="B349" s="252"/>
      <c r="C349" s="257"/>
      <c r="D349" s="258"/>
      <c r="E349" s="259"/>
      <c r="F349" s="234"/>
      <c r="G349" s="398"/>
      <c r="H349" s="398"/>
      <c r="J349" s="209"/>
    </row>
    <row r="350" spans="1:10" s="225" customFormat="1" ht="28.5">
      <c r="A350" s="232" t="s">
        <v>1286</v>
      </c>
      <c r="B350" s="252" t="s">
        <v>1251</v>
      </c>
      <c r="C350" s="257" t="s">
        <v>40</v>
      </c>
      <c r="D350" s="258">
        <v>1.68</v>
      </c>
      <c r="E350" s="678"/>
      <c r="F350" s="234">
        <f t="shared" ref="F350" si="62">(D350*E350)</f>
        <v>0</v>
      </c>
      <c r="G350" s="398"/>
      <c r="H350" s="398"/>
      <c r="J350" s="209"/>
    </row>
    <row r="351" spans="1:10" s="225" customFormat="1">
      <c r="A351" s="232"/>
      <c r="B351" s="252"/>
      <c r="C351" s="257"/>
      <c r="D351" s="258"/>
      <c r="E351" s="259"/>
      <c r="F351" s="234"/>
      <c r="G351" s="398"/>
      <c r="H351" s="398"/>
      <c r="J351" s="209"/>
    </row>
    <row r="352" spans="1:10" s="225" customFormat="1">
      <c r="A352" s="232" t="s">
        <v>1287</v>
      </c>
      <c r="B352" s="252" t="s">
        <v>1252</v>
      </c>
      <c r="C352" s="257" t="s">
        <v>40</v>
      </c>
      <c r="D352" s="258">
        <v>2.67</v>
      </c>
      <c r="E352" s="678"/>
      <c r="F352" s="234">
        <f t="shared" ref="F352" si="63">(D352*E352)</f>
        <v>0</v>
      </c>
      <c r="G352" s="398"/>
      <c r="H352" s="398"/>
      <c r="J352" s="209"/>
    </row>
    <row r="353" spans="1:10" s="225" customFormat="1">
      <c r="A353" s="232"/>
      <c r="B353" s="252"/>
      <c r="C353" s="257"/>
      <c r="D353" s="258"/>
      <c r="E353" s="259"/>
      <c r="F353" s="234"/>
      <c r="G353" s="398"/>
      <c r="H353" s="398"/>
      <c r="J353" s="209"/>
    </row>
    <row r="354" spans="1:10" s="225" customFormat="1">
      <c r="A354" s="232" t="s">
        <v>1288</v>
      </c>
      <c r="B354" s="252" t="s">
        <v>1253</v>
      </c>
      <c r="C354" s="257" t="s">
        <v>40</v>
      </c>
      <c r="D354" s="258">
        <v>2.88</v>
      </c>
      <c r="E354" s="678"/>
      <c r="F354" s="234">
        <f t="shared" ref="F354" si="64">(D354*E354)</f>
        <v>0</v>
      </c>
      <c r="G354" s="398"/>
      <c r="H354" s="398"/>
      <c r="J354" s="209"/>
    </row>
    <row r="355" spans="1:10" s="225" customFormat="1">
      <c r="A355" s="232"/>
      <c r="B355" s="252"/>
      <c r="C355" s="257"/>
      <c r="D355" s="258"/>
      <c r="E355" s="259"/>
      <c r="F355" s="234"/>
      <c r="G355" s="398"/>
      <c r="H355" s="398"/>
      <c r="J355" s="209"/>
    </row>
    <row r="356" spans="1:10" s="225" customFormat="1" ht="85.5">
      <c r="A356" s="232" t="s">
        <v>1289</v>
      </c>
      <c r="B356" s="252" t="s">
        <v>1310</v>
      </c>
      <c r="C356" s="254" t="s">
        <v>11</v>
      </c>
      <c r="D356" s="255">
        <v>11.7</v>
      </c>
      <c r="E356" s="679"/>
      <c r="F356" s="234">
        <f t="shared" ref="F356" si="65">(D356*E356)</f>
        <v>0</v>
      </c>
      <c r="G356" s="398"/>
      <c r="H356" s="398"/>
      <c r="J356" s="209"/>
    </row>
    <row r="357" spans="1:10" s="225" customFormat="1">
      <c r="A357" s="232"/>
      <c r="B357" s="252"/>
      <c r="C357" s="257"/>
      <c r="D357" s="258"/>
      <c r="E357" s="259"/>
      <c r="F357" s="234"/>
      <c r="G357" s="398"/>
      <c r="H357" s="398"/>
      <c r="J357" s="209"/>
    </row>
    <row r="358" spans="1:10" s="225" customFormat="1">
      <c r="A358" s="232" t="s">
        <v>1290</v>
      </c>
      <c r="B358" s="252" t="s">
        <v>1254</v>
      </c>
      <c r="C358" s="257" t="s">
        <v>11</v>
      </c>
      <c r="D358" s="258">
        <v>7.68</v>
      </c>
      <c r="E358" s="678"/>
      <c r="F358" s="234">
        <f t="shared" ref="F358:F372" si="66">(D358*E358)</f>
        <v>0</v>
      </c>
      <c r="G358" s="398"/>
      <c r="H358" s="398"/>
      <c r="J358" s="209"/>
    </row>
    <row r="359" spans="1:10" s="225" customFormat="1">
      <c r="A359" s="232"/>
      <c r="B359" s="252"/>
      <c r="C359" s="257"/>
      <c r="D359" s="258"/>
      <c r="E359" s="259"/>
      <c r="F359" s="234"/>
      <c r="G359" s="398"/>
      <c r="H359" s="398"/>
      <c r="J359" s="209"/>
    </row>
    <row r="360" spans="1:10" s="225" customFormat="1">
      <c r="A360" s="232" t="s">
        <v>1291</v>
      </c>
      <c r="B360" s="252" t="s">
        <v>1255</v>
      </c>
      <c r="C360" s="257" t="s">
        <v>11</v>
      </c>
      <c r="D360" s="258">
        <v>11.62</v>
      </c>
      <c r="E360" s="678"/>
      <c r="F360" s="234">
        <f t="shared" ref="F360:F370" si="67">(D360*E360)</f>
        <v>0</v>
      </c>
      <c r="G360" s="398"/>
      <c r="H360" s="398"/>
      <c r="J360" s="209"/>
    </row>
    <row r="361" spans="1:10" s="225" customFormat="1">
      <c r="A361" s="232"/>
      <c r="B361" s="252"/>
      <c r="C361" s="257"/>
      <c r="D361" s="258"/>
      <c r="E361" s="259"/>
      <c r="F361" s="234"/>
      <c r="G361" s="398"/>
      <c r="H361" s="398"/>
      <c r="J361" s="209"/>
    </row>
    <row r="362" spans="1:10" s="225" customFormat="1" ht="28.5">
      <c r="A362" s="232" t="s">
        <v>1292</v>
      </c>
      <c r="B362" s="252" t="s">
        <v>1256</v>
      </c>
      <c r="C362" s="257" t="s">
        <v>11</v>
      </c>
      <c r="D362" s="258">
        <v>14.82</v>
      </c>
      <c r="E362" s="678"/>
      <c r="F362" s="234">
        <f t="shared" si="66"/>
        <v>0</v>
      </c>
      <c r="G362" s="398"/>
      <c r="H362" s="398"/>
      <c r="J362" s="209"/>
    </row>
    <row r="363" spans="1:10" s="225" customFormat="1">
      <c r="A363" s="232"/>
      <c r="B363" s="252"/>
      <c r="C363" s="257"/>
      <c r="D363" s="258"/>
      <c r="E363" s="259"/>
      <c r="F363" s="234"/>
      <c r="G363" s="398"/>
      <c r="H363" s="398"/>
      <c r="J363" s="209"/>
    </row>
    <row r="364" spans="1:10" s="225" customFormat="1" ht="28.5">
      <c r="A364" s="232" t="s">
        <v>1293</v>
      </c>
      <c r="B364" s="252" t="s">
        <v>1257</v>
      </c>
      <c r="C364" s="257" t="s">
        <v>11</v>
      </c>
      <c r="D364" s="258">
        <v>15.03</v>
      </c>
      <c r="E364" s="678"/>
      <c r="F364" s="234">
        <f t="shared" si="67"/>
        <v>0</v>
      </c>
      <c r="G364" s="398"/>
      <c r="H364" s="398"/>
      <c r="J364" s="209"/>
    </row>
    <row r="365" spans="1:10" s="225" customFormat="1">
      <c r="A365" s="232"/>
      <c r="B365" s="252"/>
      <c r="C365" s="257"/>
      <c r="D365" s="258"/>
      <c r="E365" s="259"/>
      <c r="F365" s="234"/>
      <c r="G365" s="398"/>
      <c r="H365" s="398"/>
      <c r="J365" s="209"/>
    </row>
    <row r="366" spans="1:10" s="225" customFormat="1">
      <c r="A366" s="232" t="s">
        <v>1294</v>
      </c>
      <c r="B366" s="252" t="s">
        <v>1245</v>
      </c>
      <c r="C366" s="257" t="s">
        <v>11</v>
      </c>
      <c r="D366" s="258">
        <v>2.37</v>
      </c>
      <c r="E366" s="678"/>
      <c r="F366" s="234">
        <f t="shared" si="66"/>
        <v>0</v>
      </c>
      <c r="G366" s="398"/>
      <c r="H366" s="398"/>
      <c r="J366" s="209"/>
    </row>
    <row r="367" spans="1:10" s="225" customFormat="1">
      <c r="A367" s="232"/>
      <c r="B367" s="252"/>
      <c r="C367" s="257"/>
      <c r="D367" s="258"/>
      <c r="E367" s="259"/>
      <c r="F367" s="234"/>
      <c r="G367" s="398"/>
      <c r="H367" s="398"/>
      <c r="J367" s="209"/>
    </row>
    <row r="368" spans="1:10" s="225" customFormat="1">
      <c r="A368" s="232" t="s">
        <v>1295</v>
      </c>
      <c r="B368" s="252" t="s">
        <v>1648</v>
      </c>
      <c r="C368" s="257" t="s">
        <v>71</v>
      </c>
      <c r="D368" s="258">
        <v>404.05999999999995</v>
      </c>
      <c r="E368" s="678"/>
      <c r="F368" s="234">
        <f t="shared" si="66"/>
        <v>0</v>
      </c>
      <c r="G368" s="398"/>
      <c r="H368" s="398"/>
      <c r="J368" s="209"/>
    </row>
    <row r="369" spans="1:10" s="225" customFormat="1">
      <c r="A369" s="232"/>
      <c r="B369" s="252"/>
      <c r="C369" s="257"/>
      <c r="D369" s="258"/>
      <c r="E369" s="259"/>
      <c r="F369" s="234"/>
      <c r="G369" s="398"/>
      <c r="H369" s="398"/>
      <c r="J369" s="209"/>
    </row>
    <row r="370" spans="1:10" s="225" customFormat="1">
      <c r="A370" s="232" t="s">
        <v>1296</v>
      </c>
      <c r="B370" s="252" t="s">
        <v>1649</v>
      </c>
      <c r="C370" s="257" t="s">
        <v>71</v>
      </c>
      <c r="D370" s="258">
        <v>112.48</v>
      </c>
      <c r="E370" s="678"/>
      <c r="F370" s="234">
        <f t="shared" si="67"/>
        <v>0</v>
      </c>
      <c r="G370" s="398"/>
      <c r="H370" s="398"/>
      <c r="J370" s="209"/>
    </row>
    <row r="371" spans="1:10" s="225" customFormat="1">
      <c r="A371" s="232"/>
      <c r="B371" s="252"/>
      <c r="C371" s="257"/>
      <c r="D371" s="258"/>
      <c r="E371" s="259"/>
      <c r="F371" s="234"/>
      <c r="G371" s="398"/>
      <c r="H371" s="398"/>
      <c r="J371" s="209"/>
    </row>
    <row r="372" spans="1:10" s="225" customFormat="1">
      <c r="A372" s="232" t="s">
        <v>1297</v>
      </c>
      <c r="B372" s="252" t="s">
        <v>1247</v>
      </c>
      <c r="C372" s="257" t="s">
        <v>71</v>
      </c>
      <c r="D372" s="258">
        <v>316.44</v>
      </c>
      <c r="E372" s="678"/>
      <c r="F372" s="234">
        <f t="shared" si="66"/>
        <v>0</v>
      </c>
      <c r="G372" s="398"/>
      <c r="H372" s="398"/>
      <c r="J372" s="209"/>
    </row>
    <row r="373" spans="1:10" s="225" customFormat="1">
      <c r="A373" s="232"/>
      <c r="B373" s="252"/>
      <c r="C373" s="257"/>
      <c r="D373" s="258"/>
      <c r="E373" s="259"/>
      <c r="F373" s="234"/>
      <c r="G373" s="398"/>
      <c r="H373" s="398"/>
      <c r="J373" s="209"/>
    </row>
    <row r="374" spans="1:10" ht="87.75" customHeight="1">
      <c r="A374" s="232" t="s">
        <v>1298</v>
      </c>
      <c r="B374" s="252" t="s">
        <v>1565</v>
      </c>
      <c r="C374" s="58" t="s">
        <v>71</v>
      </c>
      <c r="D374" s="40">
        <v>590</v>
      </c>
      <c r="E374" s="726"/>
      <c r="F374" s="234">
        <f>(D374*E374)</f>
        <v>0</v>
      </c>
      <c r="G374" s="398"/>
      <c r="H374" s="398"/>
    </row>
    <row r="375" spans="1:10">
      <c r="A375" s="232"/>
      <c r="B375" s="252"/>
      <c r="C375" s="58"/>
      <c r="D375" s="40"/>
      <c r="E375" s="273"/>
      <c r="F375" s="234"/>
      <c r="G375" s="398"/>
      <c r="H375" s="398"/>
    </row>
    <row r="376" spans="1:10" ht="57">
      <c r="A376" s="232" t="s">
        <v>1299</v>
      </c>
      <c r="B376" s="252" t="s">
        <v>1161</v>
      </c>
      <c r="C376" s="58" t="s">
        <v>11</v>
      </c>
      <c r="D376" s="40">
        <v>19</v>
      </c>
      <c r="E376" s="726"/>
      <c r="F376" s="234">
        <f>(D376*E376)</f>
        <v>0</v>
      </c>
      <c r="G376" s="398"/>
      <c r="H376" s="398"/>
    </row>
    <row r="377" spans="1:10">
      <c r="A377" s="232"/>
      <c r="B377" s="252"/>
      <c r="C377" s="58"/>
      <c r="D377" s="40"/>
      <c r="E377" s="273"/>
      <c r="F377" s="234"/>
      <c r="G377" s="398"/>
      <c r="H377" s="398"/>
    </row>
    <row r="378" spans="1:10" ht="71.25">
      <c r="A378" s="232" t="s">
        <v>1300</v>
      </c>
      <c r="B378" s="252" t="s">
        <v>1162</v>
      </c>
      <c r="C378" s="58" t="s">
        <v>10</v>
      </c>
      <c r="D378" s="40">
        <v>1</v>
      </c>
      <c r="E378" s="726"/>
      <c r="F378" s="234">
        <f>(D378*E378)</f>
        <v>0</v>
      </c>
      <c r="G378" s="398"/>
      <c r="H378" s="398"/>
    </row>
    <row r="379" spans="1:10" ht="15.75" thickBot="1">
      <c r="A379" s="235"/>
      <c r="B379" s="236"/>
      <c r="C379" s="237"/>
      <c r="D379" s="238"/>
      <c r="E379" s="239"/>
      <c r="F379" s="240"/>
      <c r="G379" s="397"/>
      <c r="H379" s="397"/>
    </row>
    <row r="380" spans="1:10" ht="16.5" thickTop="1" thickBot="1">
      <c r="A380" s="241" t="s">
        <v>1230</v>
      </c>
      <c r="B380" s="242" t="s">
        <v>806</v>
      </c>
      <c r="C380" s="243"/>
      <c r="D380" s="244"/>
      <c r="E380" s="245"/>
      <c r="F380" s="246">
        <f>SUM(F334:F378)</f>
        <v>0</v>
      </c>
      <c r="G380" s="399"/>
      <c r="H380" s="399"/>
    </row>
    <row r="381" spans="1:10" ht="16.5" thickTop="1" thickBot="1">
      <c r="A381" s="446"/>
      <c r="C381" s="66"/>
      <c r="F381" s="448"/>
      <c r="G381" s="462"/>
      <c r="H381" s="462"/>
    </row>
    <row r="382" spans="1:10" s="225" customFormat="1" ht="18" thickBot="1">
      <c r="A382" s="440" t="s">
        <v>49</v>
      </c>
      <c r="B382" s="441" t="s">
        <v>667</v>
      </c>
      <c r="C382" s="442"/>
      <c r="D382" s="60"/>
      <c r="E382" s="26"/>
      <c r="F382" s="453">
        <f>F92+F188+F214+F264+F272+F330+F380</f>
        <v>0</v>
      </c>
      <c r="G382" s="461"/>
      <c r="H382" s="461"/>
    </row>
    <row r="383" spans="1:10">
      <c r="A383" s="446"/>
      <c r="C383" s="66"/>
      <c r="F383" s="448"/>
      <c r="G383" s="462"/>
      <c r="H383" s="462"/>
    </row>
  </sheetData>
  <sheetProtection algorithmName="SHA-512" hashValue="HYgGmZCLz2WRDqyDGKG69XhUABBvhAlMYvDje75VGVxYPrluw1+1K+q8g+nrjJgEwQR1Kzka2E4l8u9Tpcqt2A==" saltValue="1ydHAbWIWW+cU3Wpsu5UQw==" spinCount="100000" sheet="1" objects="1" scenarios="1" selectLockedCells="1"/>
  <customSheetViews>
    <customSheetView guid="{14FA32B8-8DA0-4B39-A6E2-254F8891DDCC}" showPageBreaks="1" printArea="1" view="pageBreakPreview" topLeftCell="A55">
      <selection activeCell="A125" sqref="A125"/>
      <rowBreaks count="7" manualBreakCount="7">
        <brk id="43" max="5" man="1"/>
        <brk id="137" max="5" man="1"/>
        <brk id="196" max="5" man="1"/>
        <brk id="222" max="5" man="1"/>
        <brk id="260" max="5" man="1"/>
        <brk id="308" max="5" man="1"/>
        <brk id="354" max="5" man="1"/>
      </rowBreaks>
      <colBreaks count="1" manualBreakCount="1">
        <brk id="6" max="1048575" man="1"/>
      </colBreaks>
      <pageMargins left="0.7" right="0.7" top="0.75" bottom="0.75" header="0.3" footer="0.3"/>
      <pageSetup paperSize="9" scale="65"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65" orientation="portrait" r:id="rId2"/>
  <headerFooter>
    <oddHeader>&amp;CUREDITEV RAFUTSKEGA PARKA Z LAŠČAKOVO VILO - Park&amp;RLUZ, d.d.</oddHeader>
    <oddFooter>&amp;C&amp;P</oddFooter>
  </headerFooter>
  <rowBreaks count="7" manualBreakCount="7">
    <brk id="36" max="7" man="1"/>
    <brk id="130" max="7" man="1"/>
    <brk id="189" max="7" man="1"/>
    <brk id="215" max="7" man="1"/>
    <brk id="253" max="7" man="1"/>
    <brk id="301" max="7" man="1"/>
    <brk id="347" max="7"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tabColor theme="6" tint="0.59999389629810485"/>
  </sheetPr>
  <dimension ref="A1:AR160"/>
  <sheetViews>
    <sheetView view="pageBreakPreview" zoomScale="80" zoomScaleNormal="100" zoomScaleSheetLayoutView="80" workbookViewId="0">
      <pane ySplit="6" topLeftCell="A8" activePane="bottomLeft" state="frozen"/>
      <selection pane="bottomLeft" activeCell="E22" sqref="E22"/>
    </sheetView>
  </sheetViews>
  <sheetFormatPr defaultRowHeight="15"/>
  <cols>
    <col min="1" max="1" width="10.42578125" style="68" bestFit="1" customWidth="1"/>
    <col min="2" max="2" width="75.5703125" style="69" customWidth="1"/>
    <col min="3" max="3" width="6.42578125" style="65" bestFit="1" customWidth="1"/>
    <col min="4" max="4" width="9.42578125" style="66" bestFit="1" customWidth="1"/>
    <col min="5" max="5" width="11" style="67" bestFit="1" customWidth="1"/>
    <col min="6" max="6" width="13.7109375" style="70" bestFit="1" customWidth="1"/>
    <col min="7" max="7" width="13.140625" style="400" customWidth="1"/>
    <col min="8" max="8" width="8.7109375" customWidth="1"/>
    <col min="9" max="9" width="9.28515625" style="209" customWidth="1"/>
    <col min="10" max="10" width="9.28515625" customWidth="1"/>
  </cols>
  <sheetData>
    <row r="1" spans="1:44">
      <c r="A1" s="1355" t="str">
        <f>Info!B1</f>
        <v>UREDITEV RAFUTSKEGA PARKA Z LAŠČAKOVO VILO - Park</v>
      </c>
      <c r="B1" s="1356"/>
      <c r="C1" s="1356"/>
      <c r="D1" s="1356"/>
      <c r="E1" s="1356"/>
      <c r="F1" s="1356"/>
      <c r="G1" s="1279"/>
    </row>
    <row r="2" spans="1:44" ht="15.75" thickBot="1">
      <c r="A2" s="1358"/>
      <c r="B2" s="1359"/>
      <c r="C2" s="1359"/>
      <c r="D2" s="1359"/>
      <c r="E2" s="1359"/>
      <c r="F2" s="1359"/>
      <c r="G2" s="1279"/>
    </row>
    <row r="3" spans="1:44" ht="15.75" thickBot="1">
      <c r="A3" s="1361"/>
      <c r="B3" s="1362"/>
      <c r="C3" s="5"/>
      <c r="D3" s="572"/>
      <c r="E3" s="573"/>
      <c r="F3" s="1280"/>
      <c r="G3" s="1280"/>
    </row>
    <row r="4" spans="1:44" ht="18" customHeight="1" thickBot="1">
      <c r="A4" s="575" t="s">
        <v>778</v>
      </c>
      <c r="B4" s="576"/>
      <c r="C4" s="576"/>
      <c r="D4" s="576"/>
      <c r="E4" s="576"/>
      <c r="F4" s="576"/>
      <c r="G4" s="576"/>
    </row>
    <row r="5" spans="1:44">
      <c r="A5" s="577"/>
      <c r="B5" s="578"/>
      <c r="C5" s="579"/>
      <c r="D5" s="579"/>
      <c r="E5" s="580"/>
      <c r="F5" s="1281"/>
      <c r="G5" s="1281"/>
    </row>
    <row r="6" spans="1:44" ht="85.5">
      <c r="A6" s="582" t="s">
        <v>1</v>
      </c>
      <c r="B6" s="583" t="s">
        <v>2</v>
      </c>
      <c r="C6" s="584" t="s">
        <v>4</v>
      </c>
      <c r="D6" s="585" t="s">
        <v>9</v>
      </c>
      <c r="E6" s="586" t="s">
        <v>5</v>
      </c>
      <c r="F6" s="588" t="s">
        <v>1613</v>
      </c>
      <c r="G6" s="588" t="s">
        <v>1596</v>
      </c>
    </row>
    <row r="7" spans="1:44" ht="15.75" thickBot="1">
      <c r="A7" s="589"/>
      <c r="B7" s="590"/>
      <c r="C7" s="591"/>
      <c r="D7" s="592"/>
      <c r="E7" s="593"/>
      <c r="F7" s="595"/>
      <c r="G7" s="595"/>
    </row>
    <row r="8" spans="1:44" ht="18" thickBot="1">
      <c r="A8" s="596" t="s">
        <v>50</v>
      </c>
      <c r="B8" s="1282" t="s">
        <v>777</v>
      </c>
      <c r="C8" s="598"/>
      <c r="D8" s="599"/>
      <c r="E8" s="600"/>
      <c r="F8" s="603"/>
      <c r="G8" s="603"/>
      <c r="J8" s="145"/>
    </row>
    <row r="9" spans="1:44">
      <c r="A9" s="604"/>
      <c r="B9" s="605"/>
      <c r="C9" s="606"/>
      <c r="D9" s="607"/>
      <c r="E9" s="608"/>
      <c r="F9" s="611"/>
      <c r="G9" s="611"/>
    </row>
    <row r="10" spans="1:44" s="439" customFormat="1">
      <c r="A10" s="612" t="s">
        <v>67</v>
      </c>
      <c r="B10" s="683" t="s">
        <v>58</v>
      </c>
      <c r="C10" s="614"/>
      <c r="D10" s="615"/>
      <c r="E10" s="616"/>
      <c r="F10" s="619"/>
      <c r="G10" s="619"/>
      <c r="I10" s="454"/>
    </row>
    <row r="11" spans="1:44" s="439" customFormat="1" ht="60.75" customHeight="1">
      <c r="A11" s="612"/>
      <c r="B11" s="625" t="s">
        <v>1623</v>
      </c>
      <c r="C11" s="614"/>
      <c r="D11" s="615"/>
      <c r="E11" s="616"/>
      <c r="F11" s="619"/>
      <c r="G11" s="619"/>
      <c r="I11" s="454"/>
    </row>
    <row r="12" spans="1:44" s="456" customFormat="1" ht="14.25">
      <c r="A12" s="227"/>
      <c r="B12" s="218" t="s">
        <v>1135</v>
      </c>
      <c r="C12" s="228"/>
      <c r="D12" s="229"/>
      <c r="E12" s="230"/>
      <c r="F12" s="387"/>
      <c r="G12" s="387"/>
      <c r="H12" s="226"/>
      <c r="I12" s="210"/>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row>
    <row r="13" spans="1:44" s="439" customFormat="1">
      <c r="A13" s="232" t="s">
        <v>779</v>
      </c>
      <c r="B13" s="233" t="s">
        <v>1093</v>
      </c>
      <c r="C13" s="254" t="s">
        <v>72</v>
      </c>
      <c r="D13" s="255">
        <v>1</v>
      </c>
      <c r="E13" s="679"/>
      <c r="F13" s="386">
        <f>(D13*E13)</f>
        <v>0</v>
      </c>
      <c r="G13" s="386"/>
      <c r="I13" s="454"/>
    </row>
    <row r="14" spans="1:44" s="439" customFormat="1">
      <c r="A14" s="232"/>
      <c r="B14" s="233"/>
      <c r="C14" s="254"/>
      <c r="D14" s="255"/>
      <c r="E14" s="256"/>
      <c r="F14" s="386"/>
      <c r="G14" s="386"/>
      <c r="I14" s="454"/>
    </row>
    <row r="15" spans="1:44" s="439" customFormat="1" ht="71.25">
      <c r="A15" s="232" t="s">
        <v>780</v>
      </c>
      <c r="B15" s="249" t="s">
        <v>1650</v>
      </c>
      <c r="C15" s="247" t="s">
        <v>70</v>
      </c>
      <c r="D15" s="40">
        <v>22</v>
      </c>
      <c r="E15" s="726"/>
      <c r="F15" s="386">
        <f>(D15*E15)</f>
        <v>0</v>
      </c>
      <c r="G15" s="386"/>
      <c r="H15" s="281"/>
      <c r="I15" s="451"/>
    </row>
    <row r="16" spans="1:44" s="439" customFormat="1">
      <c r="A16" s="260"/>
      <c r="B16" s="261"/>
      <c r="C16" s="263"/>
      <c r="D16" s="82"/>
      <c r="E16" s="215"/>
      <c r="F16" s="388"/>
      <c r="G16" s="388"/>
      <c r="H16" s="281"/>
      <c r="I16" s="457"/>
    </row>
    <row r="17" spans="1:9" s="439" customFormat="1" ht="28.5">
      <c r="A17" s="232" t="s">
        <v>781</v>
      </c>
      <c r="B17" s="233" t="s">
        <v>207</v>
      </c>
      <c r="C17" s="254" t="s">
        <v>10</v>
      </c>
      <c r="D17" s="255">
        <v>1</v>
      </c>
      <c r="E17" s="679"/>
      <c r="F17" s="386">
        <f>(D17*E17)</f>
        <v>0</v>
      </c>
      <c r="G17" s="386"/>
      <c r="H17" s="281"/>
      <c r="I17" s="457"/>
    </row>
    <row r="18" spans="1:9" s="439" customFormat="1">
      <c r="A18" s="232"/>
      <c r="B18" s="233"/>
      <c r="C18" s="254"/>
      <c r="D18" s="255"/>
      <c r="E18" s="256"/>
      <c r="F18" s="386"/>
      <c r="G18" s="386"/>
      <c r="H18" s="281"/>
      <c r="I18" s="457"/>
    </row>
    <row r="19" spans="1:9" s="439" customFormat="1">
      <c r="A19" s="232"/>
      <c r="B19" s="218" t="s">
        <v>1139</v>
      </c>
      <c r="C19" s="254"/>
      <c r="D19" s="255"/>
      <c r="E19" s="256"/>
      <c r="F19" s="386"/>
      <c r="G19" s="386"/>
      <c r="H19" s="281"/>
      <c r="I19" s="457"/>
    </row>
    <row r="20" spans="1:9" s="439" customFormat="1">
      <c r="A20" s="232" t="s">
        <v>782</v>
      </c>
      <c r="B20" s="233" t="s">
        <v>1093</v>
      </c>
      <c r="C20" s="254" t="s">
        <v>72</v>
      </c>
      <c r="D20" s="255">
        <v>1</v>
      </c>
      <c r="E20" s="679"/>
      <c r="F20" s="386">
        <f>(D20*E20)</f>
        <v>0</v>
      </c>
      <c r="G20" s="386"/>
      <c r="H20" s="281"/>
      <c r="I20" s="457"/>
    </row>
    <row r="21" spans="1:9" s="439" customFormat="1">
      <c r="A21" s="232"/>
      <c r="B21" s="233"/>
      <c r="C21" s="254"/>
      <c r="D21" s="255"/>
      <c r="E21" s="256"/>
      <c r="F21" s="386"/>
      <c r="G21" s="386"/>
      <c r="H21" s="281"/>
      <c r="I21" s="457"/>
    </row>
    <row r="22" spans="1:9" s="439" customFormat="1" ht="128.25">
      <c r="A22" s="232" t="s">
        <v>783</v>
      </c>
      <c r="B22" s="249" t="s">
        <v>1651</v>
      </c>
      <c r="C22" s="247" t="s">
        <v>70</v>
      </c>
      <c r="D22" s="248">
        <v>100.3</v>
      </c>
      <c r="E22" s="726"/>
      <c r="F22" s="386">
        <f>(D22*E22)</f>
        <v>0</v>
      </c>
      <c r="G22" s="386"/>
      <c r="H22" s="281"/>
      <c r="I22" s="451"/>
    </row>
    <row r="23" spans="1:9" s="439" customFormat="1">
      <c r="A23" s="260"/>
      <c r="B23" s="261"/>
      <c r="C23" s="263"/>
      <c r="D23" s="264"/>
      <c r="E23" s="215"/>
      <c r="F23" s="388"/>
      <c r="G23" s="388"/>
      <c r="H23" s="281"/>
      <c r="I23" s="457"/>
    </row>
    <row r="24" spans="1:9" s="439" customFormat="1">
      <c r="A24" s="232"/>
      <c r="B24" s="218" t="s">
        <v>1136</v>
      </c>
      <c r="C24" s="254"/>
      <c r="D24" s="255"/>
      <c r="E24" s="256"/>
      <c r="F24" s="386"/>
      <c r="G24" s="386"/>
      <c r="H24" s="281"/>
      <c r="I24" s="457"/>
    </row>
    <row r="25" spans="1:9" s="439" customFormat="1">
      <c r="A25" s="232" t="s">
        <v>784</v>
      </c>
      <c r="B25" s="233" t="s">
        <v>1093</v>
      </c>
      <c r="C25" s="254" t="s">
        <v>72</v>
      </c>
      <c r="D25" s="255">
        <v>1</v>
      </c>
      <c r="E25" s="679"/>
      <c r="F25" s="386">
        <f>(D25*E25)</f>
        <v>0</v>
      </c>
      <c r="G25" s="386"/>
      <c r="H25" s="281"/>
      <c r="I25" s="457"/>
    </row>
    <row r="26" spans="1:9" s="439" customFormat="1">
      <c r="A26" s="232"/>
      <c r="B26" s="233"/>
      <c r="C26" s="254"/>
      <c r="D26" s="255"/>
      <c r="E26" s="256"/>
      <c r="F26" s="386"/>
      <c r="G26" s="386"/>
      <c r="H26" s="281"/>
      <c r="I26" s="457"/>
    </row>
    <row r="27" spans="1:9" s="439" customFormat="1" ht="128.25">
      <c r="A27" s="232" t="s">
        <v>785</v>
      </c>
      <c r="B27" s="249" t="s">
        <v>1651</v>
      </c>
      <c r="C27" s="247" t="s">
        <v>70</v>
      </c>
      <c r="D27" s="248">
        <v>20</v>
      </c>
      <c r="E27" s="726"/>
      <c r="F27" s="386">
        <f>(D27*E27)</f>
        <v>0</v>
      </c>
      <c r="G27" s="386"/>
      <c r="H27" s="281"/>
      <c r="I27" s="451"/>
    </row>
    <row r="28" spans="1:9" s="439" customFormat="1">
      <c r="A28" s="260"/>
      <c r="B28" s="261"/>
      <c r="C28" s="263"/>
      <c r="D28" s="264"/>
      <c r="E28" s="215"/>
      <c r="F28" s="388"/>
      <c r="G28" s="388"/>
      <c r="H28" s="281"/>
      <c r="I28" s="457"/>
    </row>
    <row r="29" spans="1:9" s="439" customFormat="1">
      <c r="A29" s="232"/>
      <c r="B29" s="218" t="s">
        <v>1140</v>
      </c>
      <c r="C29" s="254"/>
      <c r="D29" s="255"/>
      <c r="E29" s="256"/>
      <c r="F29" s="386"/>
      <c r="G29" s="386"/>
      <c r="H29" s="281"/>
      <c r="I29" s="457"/>
    </row>
    <row r="30" spans="1:9" s="439" customFormat="1">
      <c r="A30" s="232" t="s">
        <v>786</v>
      </c>
      <c r="B30" s="233" t="s">
        <v>1093</v>
      </c>
      <c r="C30" s="254" t="s">
        <v>72</v>
      </c>
      <c r="D30" s="255">
        <v>1</v>
      </c>
      <c r="E30" s="679"/>
      <c r="F30" s="386">
        <f>(D30*E30)</f>
        <v>0</v>
      </c>
      <c r="G30" s="386"/>
      <c r="H30" s="281"/>
      <c r="I30" s="457"/>
    </row>
    <row r="31" spans="1:9" s="439" customFormat="1">
      <c r="A31" s="232"/>
      <c r="B31" s="233"/>
      <c r="C31" s="254"/>
      <c r="D31" s="255"/>
      <c r="E31" s="256"/>
      <c r="F31" s="386"/>
      <c r="G31" s="386"/>
      <c r="H31" s="281"/>
      <c r="I31" s="457"/>
    </row>
    <row r="32" spans="1:9" s="439" customFormat="1" ht="114">
      <c r="A32" s="232" t="s">
        <v>787</v>
      </c>
      <c r="B32" s="249" t="s">
        <v>1652</v>
      </c>
      <c r="C32" s="247" t="s">
        <v>70</v>
      </c>
      <c r="D32" s="248">
        <v>51.55</v>
      </c>
      <c r="E32" s="726"/>
      <c r="F32" s="386">
        <f>(D32*E32)</f>
        <v>0</v>
      </c>
      <c r="G32" s="386"/>
      <c r="H32" s="281"/>
      <c r="I32" s="451"/>
    </row>
    <row r="33" spans="1:9" s="439" customFormat="1">
      <c r="A33" s="260"/>
      <c r="B33" s="261"/>
      <c r="C33" s="263"/>
      <c r="D33" s="264"/>
      <c r="E33" s="215"/>
      <c r="F33" s="388"/>
      <c r="G33" s="388"/>
      <c r="H33" s="281"/>
      <c r="I33" s="457"/>
    </row>
    <row r="34" spans="1:9" s="439" customFormat="1">
      <c r="A34" s="232"/>
      <c r="B34" s="218" t="s">
        <v>1138</v>
      </c>
      <c r="C34" s="254"/>
      <c r="D34" s="255"/>
      <c r="E34" s="256"/>
      <c r="F34" s="386"/>
      <c r="G34" s="386"/>
      <c r="H34" s="281"/>
      <c r="I34" s="457"/>
    </row>
    <row r="35" spans="1:9" s="439" customFormat="1">
      <c r="A35" s="232" t="s">
        <v>788</v>
      </c>
      <c r="B35" s="233" t="s">
        <v>1093</v>
      </c>
      <c r="C35" s="254" t="s">
        <v>72</v>
      </c>
      <c r="D35" s="255">
        <v>1</v>
      </c>
      <c r="E35" s="679"/>
      <c r="F35" s="386">
        <f>(D35*E35)</f>
        <v>0</v>
      </c>
      <c r="G35" s="386"/>
      <c r="I35" s="454"/>
    </row>
    <row r="36" spans="1:9" s="439" customFormat="1">
      <c r="A36" s="232"/>
      <c r="B36" s="218"/>
      <c r="C36" s="254"/>
      <c r="D36" s="255"/>
      <c r="E36" s="256"/>
      <c r="F36" s="386"/>
      <c r="G36" s="386"/>
      <c r="I36" s="454"/>
    </row>
    <row r="37" spans="1:9" s="439" customFormat="1" ht="28.5">
      <c r="A37" s="232" t="s">
        <v>1367</v>
      </c>
      <c r="B37" s="249" t="s">
        <v>1137</v>
      </c>
      <c r="C37" s="247" t="s">
        <v>10</v>
      </c>
      <c r="D37" s="248">
        <v>6</v>
      </c>
      <c r="E37" s="727"/>
      <c r="F37" s="387">
        <f>(D37*E37)</f>
        <v>0</v>
      </c>
      <c r="G37" s="387"/>
      <c r="I37" s="454"/>
    </row>
    <row r="38" spans="1:9" s="439" customFormat="1">
      <c r="A38" s="232"/>
      <c r="B38" s="249"/>
      <c r="C38" s="247"/>
      <c r="D38" s="248"/>
      <c r="E38" s="54"/>
      <c r="F38" s="387"/>
      <c r="G38" s="387"/>
      <c r="I38" s="454"/>
    </row>
    <row r="39" spans="1:9" s="439" customFormat="1" ht="142.5">
      <c r="A39" s="232" t="s">
        <v>789</v>
      </c>
      <c r="B39" s="249" t="s">
        <v>1653</v>
      </c>
      <c r="C39" s="247" t="s">
        <v>70</v>
      </c>
      <c r="D39" s="248">
        <v>28.6</v>
      </c>
      <c r="E39" s="727"/>
      <c r="F39" s="387">
        <f>(D39*E39)</f>
        <v>0</v>
      </c>
      <c r="G39" s="387"/>
      <c r="I39" s="454"/>
    </row>
    <row r="40" spans="1:9" s="439" customFormat="1">
      <c r="A40" s="260"/>
      <c r="B40" s="261"/>
      <c r="C40" s="263"/>
      <c r="D40" s="264"/>
      <c r="E40" s="81"/>
      <c r="F40" s="392"/>
      <c r="G40" s="392"/>
      <c r="I40" s="454"/>
    </row>
    <row r="41" spans="1:9" s="439" customFormat="1">
      <c r="A41" s="260"/>
      <c r="B41" s="218" t="s">
        <v>1599</v>
      </c>
      <c r="C41" s="263"/>
      <c r="D41" s="264"/>
      <c r="E41" s="81"/>
      <c r="F41" s="392"/>
      <c r="G41" s="392"/>
      <c r="I41" s="454"/>
    </row>
    <row r="42" spans="1:9" s="439" customFormat="1" ht="129.75" customHeight="1">
      <c r="A42" s="260"/>
      <c r="B42" s="233" t="s">
        <v>1630</v>
      </c>
      <c r="C42" s="263"/>
      <c r="D42" s="264"/>
      <c r="E42" s="81"/>
      <c r="F42" s="392"/>
      <c r="G42" s="392"/>
      <c r="I42" s="454"/>
    </row>
    <row r="43" spans="1:9" s="439" customFormat="1">
      <c r="A43" s="232" t="s">
        <v>790</v>
      </c>
      <c r="B43" s="233" t="s">
        <v>1627</v>
      </c>
      <c r="C43" s="254"/>
      <c r="D43" s="255"/>
      <c r="E43" s="256"/>
      <c r="F43" s="386"/>
      <c r="G43" s="386"/>
      <c r="I43" s="454"/>
    </row>
    <row r="44" spans="1:9" s="439" customFormat="1">
      <c r="A44" s="232" t="s">
        <v>1626</v>
      </c>
      <c r="B44" s="233" t="s">
        <v>1093</v>
      </c>
      <c r="C44" s="254" t="s">
        <v>72</v>
      </c>
      <c r="D44" s="255">
        <v>1</v>
      </c>
      <c r="E44" s="679"/>
      <c r="F44" s="386">
        <f>(D44*E44)</f>
        <v>0</v>
      </c>
      <c r="G44" s="386"/>
      <c r="I44" s="454"/>
    </row>
    <row r="45" spans="1:9" s="439" customFormat="1">
      <c r="A45" s="232" t="s">
        <v>1628</v>
      </c>
      <c r="B45" s="233" t="s">
        <v>1629</v>
      </c>
      <c r="C45" s="254" t="s">
        <v>40</v>
      </c>
      <c r="D45" s="255">
        <v>662.5</v>
      </c>
      <c r="E45" s="679"/>
      <c r="F45" s="386">
        <f>(D45*E45)</f>
        <v>0</v>
      </c>
      <c r="G45" s="386"/>
      <c r="H45" s="398"/>
      <c r="I45" s="454"/>
    </row>
    <row r="46" spans="1:9" s="439" customFormat="1">
      <c r="A46" s="232" t="s">
        <v>1631</v>
      </c>
      <c r="B46" s="233" t="s">
        <v>1632</v>
      </c>
      <c r="C46" s="254" t="s">
        <v>40</v>
      </c>
      <c r="D46" s="255">
        <f>D45*0.3</f>
        <v>198.75</v>
      </c>
      <c r="E46" s="679"/>
      <c r="F46" s="386">
        <f>(D46*E46)</f>
        <v>0</v>
      </c>
      <c r="G46" s="386"/>
      <c r="I46" s="454"/>
    </row>
    <row r="47" spans="1:9" s="439" customFormat="1" ht="28.5">
      <c r="A47" s="232" t="s">
        <v>1633</v>
      </c>
      <c r="B47" s="233" t="s">
        <v>1634</v>
      </c>
      <c r="C47" s="254" t="s">
        <v>40</v>
      </c>
      <c r="D47" s="255">
        <f>D45-D46</f>
        <v>463.75</v>
      </c>
      <c r="E47" s="679"/>
      <c r="F47" s="386">
        <f>(D47*E47)</f>
        <v>0</v>
      </c>
      <c r="G47" s="386"/>
      <c r="I47" s="454"/>
    </row>
    <row r="48" spans="1:9" s="439" customFormat="1">
      <c r="A48" s="232"/>
      <c r="B48" s="249"/>
      <c r="C48" s="247"/>
      <c r="D48" s="248"/>
      <c r="E48" s="54"/>
      <c r="F48" s="387"/>
      <c r="G48" s="387"/>
      <c r="I48" s="454"/>
    </row>
    <row r="49" spans="1:10" s="439" customFormat="1" ht="28.5">
      <c r="A49" s="232" t="s">
        <v>791</v>
      </c>
      <c r="B49" s="249" t="s">
        <v>1390</v>
      </c>
      <c r="C49" s="247" t="s">
        <v>40</v>
      </c>
      <c r="D49" s="248">
        <f>0.05*1027</f>
        <v>51.35</v>
      </c>
      <c r="E49" s="727"/>
      <c r="F49" s="386">
        <f t="shared" ref="F49" si="0">(D49*E49)</f>
        <v>0</v>
      </c>
      <c r="G49" s="386"/>
      <c r="I49" s="454"/>
    </row>
    <row r="50" spans="1:10" s="439" customFormat="1">
      <c r="A50" s="232"/>
      <c r="B50" s="249"/>
      <c r="C50" s="247"/>
      <c r="D50" s="248"/>
      <c r="E50" s="54"/>
      <c r="F50" s="387"/>
      <c r="G50" s="387"/>
      <c r="H50" s="401"/>
      <c r="J50" s="454"/>
    </row>
    <row r="51" spans="1:10" s="439" customFormat="1">
      <c r="A51" s="232" t="s">
        <v>1654</v>
      </c>
      <c r="B51" s="233" t="s">
        <v>1655</v>
      </c>
      <c r="C51" s="58" t="s">
        <v>40</v>
      </c>
      <c r="D51" s="40">
        <v>171.55</v>
      </c>
      <c r="E51" s="726"/>
      <c r="F51" s="386">
        <f t="shared" ref="F51:F54" si="1">(D51*E51)</f>
        <v>0</v>
      </c>
      <c r="G51" s="386"/>
      <c r="H51" s="402"/>
      <c r="I51" s="458"/>
      <c r="J51" s="454"/>
    </row>
    <row r="52" spans="1:10" s="439" customFormat="1">
      <c r="A52" s="232" t="s">
        <v>1618</v>
      </c>
      <c r="B52" s="233" t="s">
        <v>1620</v>
      </c>
      <c r="C52" s="58" t="s">
        <v>40</v>
      </c>
      <c r="D52" s="40">
        <v>7.89</v>
      </c>
      <c r="E52" s="726"/>
      <c r="F52" s="386">
        <f t="shared" si="1"/>
        <v>0</v>
      </c>
      <c r="G52" s="386"/>
      <c r="H52" s="402"/>
      <c r="I52" s="458"/>
      <c r="J52" s="454"/>
    </row>
    <row r="53" spans="1:10" s="439" customFormat="1">
      <c r="A53" s="232" t="s">
        <v>1619</v>
      </c>
      <c r="B53" s="233" t="s">
        <v>1621</v>
      </c>
      <c r="C53" s="58" t="s">
        <v>40</v>
      </c>
      <c r="D53" s="40">
        <v>43.39</v>
      </c>
      <c r="E53" s="726"/>
      <c r="F53" s="386">
        <f t="shared" si="1"/>
        <v>0</v>
      </c>
      <c r="G53" s="386"/>
      <c r="H53" s="403"/>
      <c r="I53" s="458"/>
      <c r="J53" s="454"/>
    </row>
    <row r="54" spans="1:10" s="439" customFormat="1" ht="34.5" customHeight="1">
      <c r="A54" s="232"/>
      <c r="B54" s="233" t="s">
        <v>1622</v>
      </c>
      <c r="C54" s="58" t="s">
        <v>71</v>
      </c>
      <c r="D54" s="40">
        <v>1000</v>
      </c>
      <c r="E54" s="726"/>
      <c r="F54" s="386">
        <f t="shared" si="1"/>
        <v>0</v>
      </c>
      <c r="G54" s="386"/>
      <c r="H54" s="458"/>
      <c r="I54" s="454"/>
    </row>
    <row r="55" spans="1:10" s="439" customFormat="1">
      <c r="A55" s="232"/>
      <c r="B55" s="249"/>
      <c r="C55" s="247"/>
      <c r="D55" s="248"/>
      <c r="E55" s="54"/>
      <c r="F55" s="387"/>
      <c r="G55" s="387"/>
      <c r="I55" s="454" t="s">
        <v>107</v>
      </c>
    </row>
    <row r="56" spans="1:10" s="439" customFormat="1">
      <c r="A56" s="232" t="s">
        <v>1624</v>
      </c>
      <c r="B56" s="249" t="s">
        <v>1656</v>
      </c>
      <c r="C56" s="247" t="s">
        <v>11</v>
      </c>
      <c r="D56" s="248">
        <v>1170</v>
      </c>
      <c r="E56" s="727"/>
      <c r="F56" s="386">
        <f t="shared" ref="F56:F57" si="2">(D56*E56)</f>
        <v>0</v>
      </c>
      <c r="G56" s="386"/>
      <c r="I56" s="454"/>
    </row>
    <row r="57" spans="1:10" s="439" customFormat="1">
      <c r="A57" s="232" t="s">
        <v>1625</v>
      </c>
      <c r="B57" s="249" t="s">
        <v>1657</v>
      </c>
      <c r="C57" s="247" t="s">
        <v>11</v>
      </c>
      <c r="D57" s="248">
        <v>330</v>
      </c>
      <c r="E57" s="727"/>
      <c r="F57" s="386">
        <f t="shared" si="2"/>
        <v>0</v>
      </c>
      <c r="G57" s="386"/>
      <c r="I57" s="454"/>
    </row>
    <row r="58" spans="1:10" s="439" customFormat="1">
      <c r="A58" s="232"/>
      <c r="B58" s="249"/>
      <c r="C58" s="247"/>
      <c r="D58" s="248"/>
      <c r="E58" s="54"/>
      <c r="F58" s="387"/>
      <c r="G58" s="387"/>
      <c r="I58" s="454"/>
    </row>
    <row r="59" spans="1:10" s="439" customFormat="1">
      <c r="A59" s="232" t="s">
        <v>1388</v>
      </c>
      <c r="B59" s="249" t="s">
        <v>1658</v>
      </c>
      <c r="C59" s="247" t="s">
        <v>71</v>
      </c>
      <c r="D59" s="248">
        <v>6700</v>
      </c>
      <c r="E59" s="727"/>
      <c r="F59" s="386">
        <f t="shared" ref="F59" si="3">(D59*E59)</f>
        <v>0</v>
      </c>
      <c r="G59" s="386"/>
      <c r="I59" s="454"/>
    </row>
    <row r="60" spans="1:10" s="439" customFormat="1">
      <c r="A60" s="232"/>
      <c r="B60" s="249"/>
      <c r="C60" s="247"/>
      <c r="D60" s="248"/>
      <c r="E60" s="54"/>
      <c r="F60" s="387"/>
      <c r="G60" s="387"/>
      <c r="I60" s="454"/>
      <c r="J60" s="439" t="s">
        <v>107</v>
      </c>
    </row>
    <row r="61" spans="1:10" s="439" customFormat="1" ht="99.75">
      <c r="A61" s="232" t="s">
        <v>1389</v>
      </c>
      <c r="B61" s="233" t="s">
        <v>81</v>
      </c>
      <c r="C61" s="254" t="s">
        <v>70</v>
      </c>
      <c r="D61" s="255">
        <v>131</v>
      </c>
      <c r="E61" s="679"/>
      <c r="F61" s="386">
        <f>(D61*E61)</f>
        <v>0</v>
      </c>
      <c r="G61" s="386"/>
      <c r="I61" s="454" t="s">
        <v>107</v>
      </c>
    </row>
    <row r="62" spans="1:10" s="439" customFormat="1">
      <c r="A62" s="232"/>
      <c r="B62" s="233"/>
      <c r="C62" s="254"/>
      <c r="D62" s="255"/>
      <c r="E62" s="256"/>
      <c r="F62" s="386"/>
      <c r="G62" s="386"/>
      <c r="I62" s="454"/>
    </row>
    <row r="63" spans="1:10" s="439" customFormat="1">
      <c r="A63" s="232"/>
      <c r="B63" s="233" t="s">
        <v>1600</v>
      </c>
      <c r="C63" s="254"/>
      <c r="D63" s="255"/>
      <c r="E63" s="256"/>
      <c r="F63" s="386"/>
      <c r="G63" s="386"/>
      <c r="I63" s="454"/>
    </row>
    <row r="64" spans="1:10" s="439" customFormat="1" ht="28.5">
      <c r="A64" s="232" t="s">
        <v>1601</v>
      </c>
      <c r="B64" s="233" t="s">
        <v>1602</v>
      </c>
      <c r="C64" s="254" t="s">
        <v>217</v>
      </c>
      <c r="D64" s="255">
        <v>896</v>
      </c>
      <c r="E64" s="679"/>
      <c r="F64" s="386">
        <f>(D64*E64)</f>
        <v>0</v>
      </c>
      <c r="G64" s="386"/>
      <c r="I64" s="454"/>
    </row>
    <row r="65" spans="1:9" s="439" customFormat="1">
      <c r="A65" s="232"/>
      <c r="B65" s="218"/>
      <c r="C65" s="254"/>
      <c r="D65" s="255"/>
      <c r="E65" s="256"/>
      <c r="F65" s="386"/>
      <c r="G65" s="386"/>
      <c r="I65" s="454"/>
    </row>
    <row r="66" spans="1:9" s="439" customFormat="1">
      <c r="A66" s="232"/>
      <c r="B66" s="233"/>
      <c r="C66" s="254"/>
      <c r="D66" s="255"/>
      <c r="E66" s="256"/>
      <c r="F66" s="386"/>
      <c r="G66" s="386"/>
      <c r="I66" s="454"/>
    </row>
    <row r="67" spans="1:9" s="439" customFormat="1" ht="42.75">
      <c r="A67" s="232" t="s">
        <v>1391</v>
      </c>
      <c r="B67" s="233" t="s">
        <v>1141</v>
      </c>
      <c r="C67" s="254" t="s">
        <v>10</v>
      </c>
      <c r="D67" s="255">
        <v>2</v>
      </c>
      <c r="E67" s="679"/>
      <c r="F67" s="386">
        <f>(D67*E67)</f>
        <v>0</v>
      </c>
      <c r="G67" s="386"/>
      <c r="I67" s="454"/>
    </row>
    <row r="68" spans="1:9" s="439" customFormat="1">
      <c r="A68" s="232"/>
      <c r="B68" s="233"/>
      <c r="C68" s="254"/>
      <c r="D68" s="255"/>
      <c r="E68" s="256"/>
      <c r="F68" s="386"/>
      <c r="G68" s="386"/>
      <c r="I68" s="454"/>
    </row>
    <row r="69" spans="1:9" s="439" customFormat="1" ht="171">
      <c r="A69" s="232" t="s">
        <v>1392</v>
      </c>
      <c r="B69" s="233" t="s">
        <v>335</v>
      </c>
      <c r="C69" s="254" t="s">
        <v>10</v>
      </c>
      <c r="D69" s="255">
        <v>2</v>
      </c>
      <c r="E69" s="679"/>
      <c r="F69" s="386">
        <f>(D69*E69)</f>
        <v>0</v>
      </c>
      <c r="G69" s="386"/>
      <c r="H69" s="281"/>
      <c r="I69" s="457"/>
    </row>
    <row r="70" spans="1:9" s="439" customFormat="1">
      <c r="A70" s="232"/>
      <c r="B70" s="233"/>
      <c r="C70" s="254"/>
      <c r="D70" s="255"/>
      <c r="E70" s="256"/>
      <c r="F70" s="386"/>
      <c r="G70" s="386"/>
      <c r="I70" s="454"/>
    </row>
    <row r="71" spans="1:9" s="439" customFormat="1">
      <c r="A71" s="232"/>
      <c r="B71" s="271" t="s">
        <v>1142</v>
      </c>
      <c r="C71" s="254"/>
      <c r="D71" s="255"/>
      <c r="E71" s="256"/>
      <c r="F71" s="386"/>
      <c r="G71" s="386"/>
      <c r="I71" s="454"/>
    </row>
    <row r="72" spans="1:9" s="439" customFormat="1" ht="114">
      <c r="A72" s="232" t="s">
        <v>1393</v>
      </c>
      <c r="B72" s="233" t="s">
        <v>1659</v>
      </c>
      <c r="C72" s="254" t="s">
        <v>10</v>
      </c>
      <c r="D72" s="255">
        <v>1</v>
      </c>
      <c r="E72" s="679"/>
      <c r="F72" s="386">
        <f>+D72*E72</f>
        <v>0</v>
      </c>
      <c r="G72" s="386"/>
      <c r="I72" s="457"/>
    </row>
    <row r="73" spans="1:9" s="439" customFormat="1">
      <c r="A73" s="232"/>
      <c r="B73" s="233"/>
      <c r="C73" s="254"/>
      <c r="D73" s="255"/>
      <c r="E73" s="256"/>
      <c r="F73" s="386"/>
      <c r="G73" s="386"/>
      <c r="I73" s="457"/>
    </row>
    <row r="74" spans="1:9" s="439" customFormat="1">
      <c r="A74" s="232" t="s">
        <v>1635</v>
      </c>
      <c r="B74" s="233" t="s">
        <v>1640</v>
      </c>
      <c r="C74" s="254"/>
      <c r="D74" s="255"/>
      <c r="E74" s="256"/>
      <c r="F74" s="386"/>
      <c r="G74" s="386"/>
      <c r="I74" s="454"/>
    </row>
    <row r="75" spans="1:9" s="439" customFormat="1">
      <c r="A75" s="232" t="s">
        <v>1636</v>
      </c>
      <c r="B75" s="233" t="s">
        <v>1093</v>
      </c>
      <c r="C75" s="254" t="s">
        <v>72</v>
      </c>
      <c r="D75" s="255">
        <v>1</v>
      </c>
      <c r="E75" s="679"/>
      <c r="F75" s="386">
        <f>(D75*E75)</f>
        <v>0</v>
      </c>
      <c r="G75" s="386"/>
      <c r="I75" s="454"/>
    </row>
    <row r="76" spans="1:9" s="439" customFormat="1">
      <c r="A76" s="232" t="s">
        <v>1637</v>
      </c>
      <c r="B76" s="233" t="s">
        <v>1629</v>
      </c>
      <c r="C76" s="254" t="s">
        <v>40</v>
      </c>
      <c r="D76" s="255">
        <v>12.15</v>
      </c>
      <c r="E76" s="679"/>
      <c r="F76" s="386">
        <f>(D76*E76)</f>
        <v>0</v>
      </c>
      <c r="H76" s="549"/>
      <c r="I76" s="454"/>
    </row>
    <row r="77" spans="1:9" s="439" customFormat="1">
      <c r="A77" s="232" t="s">
        <v>1638</v>
      </c>
      <c r="B77" s="233" t="s">
        <v>1632</v>
      </c>
      <c r="C77" s="254" t="s">
        <v>40</v>
      </c>
      <c r="D77" s="255">
        <f>D76-D82</f>
        <v>9.56</v>
      </c>
      <c r="E77" s="679"/>
      <c r="F77" s="386">
        <f>(D77*E77)</f>
        <v>0</v>
      </c>
      <c r="G77" s="386"/>
      <c r="I77" s="454"/>
    </row>
    <row r="78" spans="1:9" s="439" customFormat="1" ht="28.5">
      <c r="A78" s="232" t="s">
        <v>1639</v>
      </c>
      <c r="B78" s="233" t="s">
        <v>1634</v>
      </c>
      <c r="C78" s="254" t="s">
        <v>40</v>
      </c>
      <c r="D78" s="255">
        <f>D76-D77</f>
        <v>2.59</v>
      </c>
      <c r="E78" s="679"/>
      <c r="F78" s="386">
        <f>(D78*E78)</f>
        <v>0</v>
      </c>
      <c r="G78" s="386"/>
      <c r="I78" s="454" t="s">
        <v>107</v>
      </c>
    </row>
    <row r="79" spans="1:9" s="439" customFormat="1">
      <c r="A79" s="232"/>
      <c r="B79" s="233"/>
      <c r="C79" s="254"/>
      <c r="D79" s="255"/>
      <c r="E79" s="256"/>
      <c r="F79" s="386"/>
      <c r="G79" s="386"/>
      <c r="I79" s="454"/>
    </row>
    <row r="80" spans="1:9" s="439" customFormat="1" ht="28.5">
      <c r="A80" s="232" t="s">
        <v>1406</v>
      </c>
      <c r="B80" s="233" t="s">
        <v>1385</v>
      </c>
      <c r="C80" s="254" t="s">
        <v>40</v>
      </c>
      <c r="D80" s="255">
        <v>0.57999999999999996</v>
      </c>
      <c r="E80" s="679"/>
      <c r="F80" s="386">
        <f t="shared" ref="F80" si="4">+D80*E80</f>
        <v>0</v>
      </c>
      <c r="G80" s="386"/>
      <c r="I80" s="457"/>
    </row>
    <row r="81" spans="1:9" s="439" customFormat="1">
      <c r="A81" s="232"/>
      <c r="B81" s="233"/>
      <c r="C81" s="254"/>
      <c r="D81" s="255"/>
      <c r="E81" s="256"/>
      <c r="F81" s="386"/>
      <c r="G81" s="386"/>
      <c r="I81" s="457"/>
    </row>
    <row r="82" spans="1:9" s="439" customFormat="1" ht="28.5">
      <c r="A82" s="232" t="s">
        <v>1407</v>
      </c>
      <c r="B82" s="233" t="s">
        <v>1386</v>
      </c>
      <c r="C82" s="254" t="s">
        <v>40</v>
      </c>
      <c r="D82" s="255">
        <v>2.59</v>
      </c>
      <c r="E82" s="679"/>
      <c r="F82" s="386">
        <f t="shared" ref="F82" si="5">+D82*E82</f>
        <v>0</v>
      </c>
      <c r="G82" s="386"/>
      <c r="I82" s="457"/>
    </row>
    <row r="83" spans="1:9" s="439" customFormat="1">
      <c r="A83" s="232"/>
      <c r="B83" s="233"/>
      <c r="C83" s="254"/>
      <c r="D83" s="255"/>
      <c r="E83" s="256"/>
      <c r="F83" s="386"/>
      <c r="G83" s="386"/>
      <c r="I83" s="457"/>
    </row>
    <row r="84" spans="1:9" s="439" customFormat="1">
      <c r="A84" s="232" t="s">
        <v>1408</v>
      </c>
      <c r="B84" s="233" t="s">
        <v>1387</v>
      </c>
      <c r="C84" s="254" t="s">
        <v>11</v>
      </c>
      <c r="D84" s="255">
        <v>17.28</v>
      </c>
      <c r="E84" s="679"/>
      <c r="F84" s="386">
        <f t="shared" ref="F84" si="6">+D84*E84</f>
        <v>0</v>
      </c>
      <c r="G84" s="386"/>
      <c r="I84" s="457"/>
    </row>
    <row r="85" spans="1:9" s="439" customFormat="1">
      <c r="A85" s="232"/>
      <c r="B85" s="233"/>
      <c r="C85" s="254"/>
      <c r="D85" s="255"/>
      <c r="E85" s="256"/>
      <c r="F85" s="386"/>
      <c r="G85" s="386"/>
      <c r="I85" s="457"/>
    </row>
    <row r="86" spans="1:9" s="439" customFormat="1">
      <c r="A86" s="232" t="s">
        <v>1409</v>
      </c>
      <c r="B86" s="233" t="s">
        <v>1660</v>
      </c>
      <c r="C86" s="254" t="s">
        <v>71</v>
      </c>
      <c r="D86" s="255">
        <v>102</v>
      </c>
      <c r="E86" s="679"/>
      <c r="F86" s="386">
        <f t="shared" ref="F86" si="7">+D86*E86</f>
        <v>0</v>
      </c>
      <c r="G86" s="386"/>
      <c r="I86" s="457"/>
    </row>
    <row r="87" spans="1:9" s="439" customFormat="1" ht="15.75" thickBot="1">
      <c r="A87" s="235"/>
      <c r="B87" s="236"/>
      <c r="C87" s="237"/>
      <c r="D87" s="238"/>
      <c r="E87" s="239"/>
      <c r="F87" s="389"/>
      <c r="G87" s="389"/>
      <c r="I87" s="454"/>
    </row>
    <row r="88" spans="1:9" s="439" customFormat="1" ht="16.5" thickTop="1" thickBot="1">
      <c r="A88" s="241" t="s">
        <v>67</v>
      </c>
      <c r="B88" s="242" t="s">
        <v>1661</v>
      </c>
      <c r="C88" s="243"/>
      <c r="D88" s="244"/>
      <c r="E88" s="245"/>
      <c r="F88" s="390">
        <f>SUM(F13:F87)</f>
        <v>0</v>
      </c>
      <c r="G88" s="390">
        <f>SUM(G13:G87)</f>
        <v>0</v>
      </c>
      <c r="I88" s="454"/>
    </row>
    <row r="89" spans="1:9" s="439" customFormat="1" ht="15.75" thickTop="1">
      <c r="A89" s="232"/>
      <c r="B89" s="252"/>
      <c r="C89" s="257"/>
      <c r="D89" s="258"/>
      <c r="E89" s="259"/>
      <c r="F89" s="388"/>
      <c r="G89" s="388"/>
      <c r="I89" s="454"/>
    </row>
    <row r="90" spans="1:9" s="439" customFormat="1">
      <c r="A90" s="227" t="s">
        <v>75</v>
      </c>
      <c r="B90" s="218" t="s">
        <v>47</v>
      </c>
      <c r="C90" s="228"/>
      <c r="D90" s="229"/>
      <c r="E90" s="230"/>
      <c r="F90" s="387"/>
      <c r="G90" s="387"/>
      <c r="I90" s="454"/>
    </row>
    <row r="91" spans="1:9" s="439" customFormat="1" ht="28.5">
      <c r="A91" s="227"/>
      <c r="B91" s="249" t="s">
        <v>1641</v>
      </c>
      <c r="C91" s="228"/>
      <c r="D91" s="229"/>
      <c r="E91" s="230"/>
      <c r="F91" s="387"/>
      <c r="G91" s="387"/>
      <c r="I91" s="454"/>
    </row>
    <row r="92" spans="1:9" s="439" customFormat="1">
      <c r="A92" s="227"/>
      <c r="B92" s="218"/>
      <c r="C92" s="228"/>
      <c r="D92" s="229"/>
      <c r="E92" s="230"/>
      <c r="F92" s="387"/>
      <c r="G92" s="387"/>
      <c r="I92" s="454"/>
    </row>
    <row r="93" spans="1:9" s="439" customFormat="1">
      <c r="A93" s="227"/>
      <c r="B93" s="218" t="s">
        <v>792</v>
      </c>
      <c r="C93" s="228"/>
      <c r="D93" s="229"/>
      <c r="E93" s="230"/>
      <c r="F93" s="387"/>
      <c r="G93" s="387"/>
      <c r="I93" s="454"/>
    </row>
    <row r="94" spans="1:9" s="439" customFormat="1" ht="185.25">
      <c r="A94" s="232" t="s">
        <v>793</v>
      </c>
      <c r="B94" s="249" t="s">
        <v>1394</v>
      </c>
      <c r="C94" s="247" t="s">
        <v>10</v>
      </c>
      <c r="D94" s="40">
        <v>8</v>
      </c>
      <c r="E94" s="727"/>
      <c r="F94" s="387">
        <f>(D94*E94)</f>
        <v>0</v>
      </c>
      <c r="G94" s="387"/>
      <c r="I94" s="457"/>
    </row>
    <row r="95" spans="1:9" s="439" customFormat="1">
      <c r="A95" s="260"/>
      <c r="B95" s="261"/>
      <c r="C95" s="263"/>
      <c r="D95" s="82"/>
      <c r="E95" s="81"/>
      <c r="F95" s="392"/>
      <c r="G95" s="392"/>
      <c r="I95" s="454"/>
    </row>
    <row r="96" spans="1:9" s="439" customFormat="1" ht="114">
      <c r="A96" s="232" t="s">
        <v>1120</v>
      </c>
      <c r="B96" s="233" t="s">
        <v>1569</v>
      </c>
      <c r="C96" s="58" t="s">
        <v>10</v>
      </c>
      <c r="D96" s="82">
        <v>9</v>
      </c>
      <c r="E96" s="728"/>
      <c r="F96" s="386">
        <f>(D96*E96)</f>
        <v>0</v>
      </c>
      <c r="G96" s="386"/>
      <c r="I96" s="457"/>
    </row>
    <row r="97" spans="1:9" s="439" customFormat="1">
      <c r="A97" s="260"/>
      <c r="B97" s="252"/>
      <c r="C97" s="223"/>
      <c r="D97" s="82"/>
      <c r="E97" s="215"/>
      <c r="F97" s="386"/>
      <c r="G97" s="386"/>
      <c r="I97" s="457"/>
    </row>
    <row r="98" spans="1:9" s="439" customFormat="1" ht="99.75">
      <c r="A98" s="232" t="s">
        <v>1121</v>
      </c>
      <c r="B98" s="233" t="s">
        <v>1672</v>
      </c>
      <c r="C98" s="58" t="s">
        <v>10</v>
      </c>
      <c r="D98" s="82">
        <v>17</v>
      </c>
      <c r="E98" s="728"/>
      <c r="F98" s="386">
        <f>(D98*E98)</f>
        <v>0</v>
      </c>
      <c r="G98" s="386"/>
      <c r="I98" s="457"/>
    </row>
    <row r="99" spans="1:9" s="439" customFormat="1">
      <c r="A99" s="260"/>
      <c r="B99" s="252"/>
      <c r="C99" s="223"/>
      <c r="D99" s="82"/>
      <c r="E99" s="215"/>
      <c r="F99" s="386"/>
      <c r="G99" s="386"/>
      <c r="I99" s="457"/>
    </row>
    <row r="100" spans="1:9" s="439" customFormat="1" ht="85.5">
      <c r="A100" s="232" t="s">
        <v>794</v>
      </c>
      <c r="B100" s="252" t="s">
        <v>1143</v>
      </c>
      <c r="C100" s="223" t="s">
        <v>10</v>
      </c>
      <c r="D100" s="82">
        <v>1</v>
      </c>
      <c r="E100" s="728"/>
      <c r="F100" s="386">
        <f>(D100*E100)</f>
        <v>0</v>
      </c>
      <c r="G100" s="386"/>
      <c r="H100" s="281"/>
      <c r="I100" s="457"/>
    </row>
    <row r="101" spans="1:9" s="439" customFormat="1">
      <c r="A101" s="260"/>
      <c r="B101" s="252"/>
      <c r="C101" s="223"/>
      <c r="D101" s="82"/>
      <c r="E101" s="215"/>
      <c r="F101" s="386"/>
      <c r="G101" s="386"/>
      <c r="I101" s="457"/>
    </row>
    <row r="102" spans="1:9" s="439" customFormat="1" ht="85.5">
      <c r="A102" s="232" t="s">
        <v>795</v>
      </c>
      <c r="B102" s="252" t="s">
        <v>1118</v>
      </c>
      <c r="C102" s="223" t="s">
        <v>10</v>
      </c>
      <c r="D102" s="82">
        <v>12</v>
      </c>
      <c r="E102" s="728"/>
      <c r="F102" s="386">
        <f>(D102*E102)</f>
        <v>0</v>
      </c>
      <c r="G102" s="386"/>
      <c r="H102" s="281"/>
      <c r="I102" s="457"/>
    </row>
    <row r="103" spans="1:9" s="439" customFormat="1">
      <c r="A103" s="260"/>
      <c r="B103" s="252"/>
      <c r="C103" s="223"/>
      <c r="D103" s="82"/>
      <c r="E103" s="215"/>
      <c r="F103" s="386"/>
      <c r="G103" s="386"/>
      <c r="H103" s="281"/>
      <c r="I103" s="457"/>
    </row>
    <row r="104" spans="1:9" s="439" customFormat="1" ht="85.5">
      <c r="A104" s="232" t="s">
        <v>796</v>
      </c>
      <c r="B104" s="252" t="s">
        <v>1119</v>
      </c>
      <c r="C104" s="223" t="s">
        <v>10</v>
      </c>
      <c r="D104" s="82">
        <v>6</v>
      </c>
      <c r="E104" s="728"/>
      <c r="F104" s="386">
        <f>(D104*E104)</f>
        <v>0</v>
      </c>
      <c r="G104" s="386"/>
      <c r="H104" s="281"/>
      <c r="I104" s="457"/>
    </row>
    <row r="105" spans="1:9" s="439" customFormat="1">
      <c r="A105" s="260"/>
      <c r="B105" s="261"/>
      <c r="C105" s="263"/>
      <c r="D105" s="82"/>
      <c r="E105" s="81"/>
      <c r="F105" s="392"/>
      <c r="G105" s="392"/>
      <c r="I105" s="454"/>
    </row>
    <row r="106" spans="1:9" s="439" customFormat="1" ht="28.5">
      <c r="A106" s="232" t="s">
        <v>797</v>
      </c>
      <c r="B106" s="261" t="s">
        <v>1144</v>
      </c>
      <c r="C106" s="247" t="s">
        <v>72</v>
      </c>
      <c r="D106" s="82">
        <v>1</v>
      </c>
      <c r="E106" s="728"/>
      <c r="F106" s="387">
        <f>(D106*E106)</f>
        <v>0</v>
      </c>
      <c r="G106" s="387"/>
      <c r="I106" s="457"/>
    </row>
    <row r="107" spans="1:9" s="439" customFormat="1">
      <c r="A107" s="232"/>
      <c r="B107" s="261"/>
      <c r="C107" s="247"/>
      <c r="D107" s="82"/>
      <c r="E107" s="81"/>
      <c r="F107" s="387"/>
      <c r="G107" s="387"/>
      <c r="I107" s="454"/>
    </row>
    <row r="108" spans="1:9" s="439" customFormat="1">
      <c r="A108" s="227"/>
      <c r="B108" s="218" t="s">
        <v>665</v>
      </c>
      <c r="C108" s="228"/>
      <c r="D108" s="229"/>
      <c r="E108" s="230"/>
      <c r="F108" s="387"/>
      <c r="G108" s="387"/>
      <c r="I108" s="454"/>
    </row>
    <row r="109" spans="1:9" s="439" customFormat="1" ht="42.75">
      <c r="A109" s="232" t="s">
        <v>798</v>
      </c>
      <c r="B109" s="261" t="s">
        <v>1122</v>
      </c>
      <c r="C109" s="247"/>
      <c r="D109" s="82"/>
      <c r="E109" s="81"/>
      <c r="F109" s="387"/>
      <c r="G109" s="387"/>
      <c r="I109" s="454"/>
    </row>
    <row r="110" spans="1:9" s="439" customFormat="1" ht="57">
      <c r="A110" s="232"/>
      <c r="B110" s="261" t="s">
        <v>1145</v>
      </c>
      <c r="C110" s="247"/>
      <c r="D110" s="82"/>
      <c r="E110" s="81"/>
      <c r="F110" s="387"/>
      <c r="G110" s="387"/>
      <c r="I110" s="457"/>
    </row>
    <row r="111" spans="1:9" s="439" customFormat="1">
      <c r="A111" s="232"/>
      <c r="B111" s="261" t="s">
        <v>1124</v>
      </c>
      <c r="C111" s="247"/>
      <c r="D111" s="82"/>
      <c r="E111" s="81"/>
      <c r="F111" s="387"/>
      <c r="G111" s="387"/>
      <c r="I111" s="454"/>
    </row>
    <row r="112" spans="1:9" s="439" customFormat="1">
      <c r="A112" s="232"/>
      <c r="B112" s="261" t="s">
        <v>1146</v>
      </c>
      <c r="C112" s="247"/>
      <c r="D112" s="82"/>
      <c r="E112" s="81"/>
      <c r="F112" s="387"/>
      <c r="G112" s="387"/>
      <c r="I112" s="454"/>
    </row>
    <row r="113" spans="1:14" s="439" customFormat="1">
      <c r="A113" s="232"/>
      <c r="B113" s="261" t="s">
        <v>662</v>
      </c>
      <c r="C113" s="247"/>
      <c r="D113" s="82"/>
      <c r="E113" s="81"/>
      <c r="F113" s="387"/>
      <c r="G113" s="387"/>
      <c r="I113" s="454"/>
    </row>
    <row r="114" spans="1:14" s="439" customFormat="1" ht="57">
      <c r="A114" s="232"/>
      <c r="B114" s="261" t="s">
        <v>1147</v>
      </c>
      <c r="C114" s="247"/>
      <c r="D114" s="82"/>
      <c r="E114" s="81"/>
      <c r="F114" s="387"/>
      <c r="G114" s="387"/>
      <c r="I114" s="454"/>
    </row>
    <row r="115" spans="1:14" s="439" customFormat="1" ht="57">
      <c r="A115" s="232"/>
      <c r="B115" s="261" t="s">
        <v>663</v>
      </c>
      <c r="C115" s="247"/>
      <c r="D115" s="82"/>
      <c r="E115" s="81"/>
      <c r="F115" s="387"/>
      <c r="G115" s="387"/>
      <c r="I115" s="457"/>
    </row>
    <row r="116" spans="1:14" s="439" customFormat="1" ht="42.75">
      <c r="A116" s="232"/>
      <c r="B116" s="261" t="s">
        <v>1123</v>
      </c>
      <c r="C116" s="247"/>
      <c r="D116" s="82"/>
      <c r="E116" s="81"/>
      <c r="F116" s="387"/>
      <c r="G116" s="387"/>
      <c r="I116" s="454"/>
    </row>
    <row r="117" spans="1:14" s="439" customFormat="1">
      <c r="A117" s="232"/>
      <c r="B117" s="261" t="s">
        <v>664</v>
      </c>
      <c r="C117" s="247" t="s">
        <v>72</v>
      </c>
      <c r="D117" s="82">
        <v>1</v>
      </c>
      <c r="E117" s="723"/>
      <c r="F117" s="387">
        <f>D117*E117</f>
        <v>0</v>
      </c>
      <c r="G117" s="387"/>
      <c r="I117" s="454"/>
    </row>
    <row r="118" spans="1:14" s="439" customFormat="1">
      <c r="A118" s="232"/>
      <c r="B118" s="261"/>
      <c r="C118" s="82"/>
      <c r="D118" s="82"/>
      <c r="E118" s="81"/>
      <c r="F118" s="523"/>
      <c r="G118" s="523"/>
      <c r="I118" s="454"/>
    </row>
    <row r="119" spans="1:14" s="439" customFormat="1">
      <c r="A119" s="227"/>
      <c r="B119" s="444" t="s">
        <v>656</v>
      </c>
      <c r="C119" s="165"/>
      <c r="D119" s="165"/>
      <c r="E119" s="166"/>
      <c r="F119" s="524"/>
      <c r="G119" s="524"/>
      <c r="I119" s="454"/>
      <c r="N119" s="459"/>
    </row>
    <row r="120" spans="1:14" s="439" customFormat="1" ht="71.25">
      <c r="A120" s="232" t="s">
        <v>799</v>
      </c>
      <c r="B120" s="252" t="s">
        <v>1168</v>
      </c>
      <c r="C120" s="257" t="s">
        <v>10</v>
      </c>
      <c r="D120" s="269">
        <v>4</v>
      </c>
      <c r="E120" s="729"/>
      <c r="F120" s="388">
        <f>D120*E120</f>
        <v>0</v>
      </c>
      <c r="G120" s="388"/>
      <c r="H120" s="281"/>
      <c r="I120" s="457"/>
      <c r="L120" s="439" t="s">
        <v>107</v>
      </c>
    </row>
    <row r="121" spans="1:14" s="439" customFormat="1">
      <c r="A121" s="260"/>
      <c r="B121" s="261"/>
      <c r="C121" s="257"/>
      <c r="D121" s="269"/>
      <c r="E121" s="270"/>
      <c r="F121" s="392"/>
      <c r="G121" s="392"/>
      <c r="I121" s="457"/>
    </row>
    <row r="122" spans="1:14" s="439" customFormat="1" ht="57">
      <c r="A122" s="260" t="s">
        <v>800</v>
      </c>
      <c r="B122" s="252" t="s">
        <v>1395</v>
      </c>
      <c r="C122" s="257" t="s">
        <v>10</v>
      </c>
      <c r="D122" s="269">
        <v>1</v>
      </c>
      <c r="E122" s="729"/>
      <c r="F122" s="388">
        <f>E122*D122</f>
        <v>0</v>
      </c>
      <c r="G122" s="388"/>
      <c r="I122" s="457"/>
    </row>
    <row r="123" spans="1:14" s="439" customFormat="1">
      <c r="A123" s="260"/>
      <c r="B123" s="261"/>
      <c r="C123" s="257"/>
      <c r="D123" s="269"/>
      <c r="E123" s="270"/>
      <c r="F123" s="392"/>
      <c r="G123" s="392"/>
      <c r="I123" s="454"/>
    </row>
    <row r="124" spans="1:14" s="439" customFormat="1">
      <c r="A124" s="232" t="s">
        <v>801</v>
      </c>
      <c r="B124" s="261" t="s">
        <v>1148</v>
      </c>
      <c r="C124" s="257" t="s">
        <v>72</v>
      </c>
      <c r="D124" s="269">
        <v>1</v>
      </c>
      <c r="E124" s="729"/>
      <c r="F124" s="392">
        <f>E124*D124</f>
        <v>0</v>
      </c>
      <c r="G124" s="392"/>
      <c r="I124" s="454"/>
    </row>
    <row r="125" spans="1:14" s="439" customFormat="1">
      <c r="A125" s="260"/>
      <c r="B125" s="261"/>
      <c r="C125" s="257"/>
      <c r="D125" s="269"/>
      <c r="E125" s="270"/>
      <c r="F125" s="392"/>
      <c r="G125" s="392"/>
      <c r="I125" s="454"/>
    </row>
    <row r="126" spans="1:14" s="439" customFormat="1" ht="28.5">
      <c r="A126" s="260" t="s">
        <v>1091</v>
      </c>
      <c r="B126" s="261" t="s">
        <v>1149</v>
      </c>
      <c r="C126" s="257" t="s">
        <v>72</v>
      </c>
      <c r="D126" s="269">
        <v>1</v>
      </c>
      <c r="E126" s="729"/>
      <c r="F126" s="392">
        <f>E126*D126</f>
        <v>0</v>
      </c>
      <c r="G126" s="392"/>
      <c r="I126" s="454"/>
    </row>
    <row r="127" spans="1:14" s="439" customFormat="1">
      <c r="A127" s="260"/>
      <c r="B127" s="261"/>
      <c r="C127" s="257"/>
      <c r="D127" s="269"/>
      <c r="E127" s="270"/>
      <c r="F127" s="392"/>
      <c r="G127" s="392"/>
      <c r="I127" s="454"/>
    </row>
    <row r="128" spans="1:14" s="439" customFormat="1">
      <c r="A128" s="260"/>
      <c r="B128" s="213" t="s">
        <v>1090</v>
      </c>
      <c r="C128" s="257"/>
      <c r="D128" s="269"/>
      <c r="E128" s="270"/>
      <c r="F128" s="392"/>
      <c r="G128" s="392"/>
      <c r="I128" s="454"/>
    </row>
    <row r="129" spans="1:9" s="439" customFormat="1" ht="28.5">
      <c r="A129" s="260" t="s">
        <v>1410</v>
      </c>
      <c r="B129" s="214" t="s">
        <v>1092</v>
      </c>
      <c r="C129" s="460" t="s">
        <v>10</v>
      </c>
      <c r="D129" s="248">
        <v>1</v>
      </c>
      <c r="E129" s="730"/>
      <c r="F129" s="392">
        <f>E129*D129</f>
        <v>0</v>
      </c>
      <c r="G129" s="392"/>
      <c r="I129" s="454"/>
    </row>
    <row r="130" spans="1:9" s="439" customFormat="1">
      <c r="A130" s="260"/>
      <c r="B130" s="223"/>
      <c r="C130" s="522"/>
      <c r="D130" s="264"/>
      <c r="E130" s="521"/>
      <c r="F130" s="392"/>
      <c r="G130" s="392"/>
      <c r="I130" s="454"/>
    </row>
    <row r="131" spans="1:9" s="439" customFormat="1">
      <c r="A131" s="260"/>
      <c r="B131" s="213" t="s">
        <v>1697</v>
      </c>
      <c r="C131" s="460"/>
      <c r="D131" s="264"/>
      <c r="E131" s="521"/>
      <c r="F131" s="392"/>
      <c r="G131" s="392"/>
      <c r="I131" s="454"/>
    </row>
    <row r="132" spans="1:9" s="439" customFormat="1" ht="57">
      <c r="A132" s="260" t="s">
        <v>1698</v>
      </c>
      <c r="B132" s="223" t="s">
        <v>1705</v>
      </c>
      <c r="C132" s="460" t="s">
        <v>10</v>
      </c>
      <c r="D132" s="248">
        <v>8</v>
      </c>
      <c r="E132" s="731"/>
      <c r="F132" s="392">
        <f>E132*D132</f>
        <v>0</v>
      </c>
      <c r="G132" s="392"/>
      <c r="I132" s="454"/>
    </row>
    <row r="133" spans="1:9" s="439" customFormat="1">
      <c r="A133" s="260"/>
      <c r="B133" s="223"/>
      <c r="C133" s="460"/>
      <c r="D133" s="264"/>
      <c r="E133" s="521"/>
      <c r="F133" s="392"/>
      <c r="G133" s="392"/>
      <c r="I133" s="454"/>
    </row>
    <row r="134" spans="1:9" s="439" customFormat="1">
      <c r="A134" s="260"/>
      <c r="B134" s="213" t="s">
        <v>1704</v>
      </c>
      <c r="C134" s="460"/>
      <c r="D134" s="264"/>
      <c r="E134" s="521"/>
      <c r="F134" s="392"/>
      <c r="G134" s="392"/>
      <c r="I134" s="454"/>
    </row>
    <row r="135" spans="1:9" s="439" customFormat="1" ht="57">
      <c r="A135" s="260" t="s">
        <v>1699</v>
      </c>
      <c r="B135" s="223" t="s">
        <v>1706</v>
      </c>
      <c r="C135" s="460" t="s">
        <v>10</v>
      </c>
      <c r="D135" s="248">
        <v>4</v>
      </c>
      <c r="E135" s="731"/>
      <c r="G135" s="392">
        <f>E135*D135</f>
        <v>0</v>
      </c>
      <c r="I135" s="454"/>
    </row>
    <row r="136" spans="1:9" s="439" customFormat="1">
      <c r="A136" s="260"/>
      <c r="B136" s="223"/>
      <c r="C136" s="460"/>
      <c r="D136" s="264"/>
      <c r="E136" s="521"/>
      <c r="F136" s="392"/>
      <c r="G136" s="392"/>
      <c r="I136" s="454"/>
    </row>
    <row r="137" spans="1:9" s="439" customFormat="1" ht="57">
      <c r="A137" s="260" t="s">
        <v>1700</v>
      </c>
      <c r="B137" s="223" t="s">
        <v>1707</v>
      </c>
      <c r="C137" s="460" t="s">
        <v>10</v>
      </c>
      <c r="D137" s="248">
        <v>2</v>
      </c>
      <c r="E137" s="731"/>
      <c r="G137" s="392">
        <f>E137*D137</f>
        <v>0</v>
      </c>
      <c r="I137" s="454"/>
    </row>
    <row r="138" spans="1:9" s="439" customFormat="1" ht="15.75" thickBot="1">
      <c r="A138" s="235"/>
      <c r="B138" s="236"/>
      <c r="C138" s="237"/>
      <c r="D138" s="238"/>
      <c r="E138" s="239"/>
      <c r="F138" s="389"/>
      <c r="G138" s="389"/>
      <c r="I138" s="454"/>
    </row>
    <row r="139" spans="1:9" s="439" customFormat="1" ht="16.5" thickTop="1" thickBot="1">
      <c r="A139" s="241" t="s">
        <v>75</v>
      </c>
      <c r="B139" s="242" t="s">
        <v>56</v>
      </c>
      <c r="C139" s="243"/>
      <c r="D139" s="244"/>
      <c r="E139" s="245"/>
      <c r="F139" s="390">
        <f>SUM(F90:F138)</f>
        <v>0</v>
      </c>
      <c r="G139" s="390">
        <f>SUM(G90:G138)</f>
        <v>0</v>
      </c>
      <c r="I139" s="454" t="s">
        <v>107</v>
      </c>
    </row>
    <row r="140" spans="1:9" s="439" customFormat="1" ht="15.75" thickTop="1">
      <c r="A140" s="232"/>
      <c r="B140" s="252"/>
      <c r="C140" s="257"/>
      <c r="D140" s="258"/>
      <c r="E140" s="259"/>
      <c r="F140" s="388"/>
      <c r="G140" s="388"/>
      <c r="I140" s="454"/>
    </row>
    <row r="141" spans="1:9" s="439" customFormat="1">
      <c r="A141" s="227" t="s">
        <v>76</v>
      </c>
      <c r="B141" s="218" t="s">
        <v>48</v>
      </c>
      <c r="C141" s="228"/>
      <c r="D141" s="229"/>
      <c r="E141" s="230"/>
      <c r="F141" s="387"/>
      <c r="G141" s="387"/>
      <c r="I141" s="454"/>
    </row>
    <row r="142" spans="1:9" s="439" customFormat="1">
      <c r="A142" s="227"/>
      <c r="B142" s="218"/>
      <c r="C142" s="228"/>
      <c r="D142" s="229"/>
      <c r="E142" s="230"/>
      <c r="F142" s="387"/>
      <c r="G142" s="387"/>
      <c r="I142" s="454"/>
    </row>
    <row r="143" spans="1:9" s="439" customFormat="1">
      <c r="A143" s="260" t="s">
        <v>802</v>
      </c>
      <c r="B143" s="233" t="s">
        <v>1093</v>
      </c>
      <c r="C143" s="254" t="s">
        <v>72</v>
      </c>
      <c r="D143" s="255">
        <v>1</v>
      </c>
      <c r="E143" s="679"/>
      <c r="F143" s="386">
        <f>(D143*E143)</f>
        <v>0</v>
      </c>
      <c r="G143" s="386"/>
      <c r="I143" s="454"/>
    </row>
    <row r="144" spans="1:9" s="439" customFormat="1">
      <c r="A144" s="260"/>
      <c r="B144" s="252"/>
      <c r="C144" s="257"/>
      <c r="D144" s="258"/>
      <c r="E144" s="259"/>
      <c r="F144" s="386"/>
      <c r="G144" s="386"/>
      <c r="I144" s="454"/>
    </row>
    <row r="145" spans="1:9" s="439" customFormat="1" ht="57">
      <c r="A145" s="260" t="s">
        <v>803</v>
      </c>
      <c r="B145" s="261" t="s">
        <v>1150</v>
      </c>
      <c r="C145" s="263" t="s">
        <v>72</v>
      </c>
      <c r="D145" s="264">
        <v>1</v>
      </c>
      <c r="E145" s="723"/>
      <c r="F145" s="387">
        <f>+D145*E145</f>
        <v>0</v>
      </c>
      <c r="G145" s="387"/>
      <c r="I145" s="454"/>
    </row>
    <row r="146" spans="1:9" s="439" customFormat="1">
      <c r="A146" s="260"/>
      <c r="B146" s="261"/>
      <c r="C146" s="263"/>
      <c r="D146" s="264"/>
      <c r="E146" s="81"/>
      <c r="F146" s="387"/>
      <c r="G146" s="387"/>
      <c r="I146" s="454"/>
    </row>
    <row r="147" spans="1:9" s="439" customFormat="1" ht="42.75">
      <c r="A147" s="260" t="s">
        <v>804</v>
      </c>
      <c r="B147" s="252" t="s">
        <v>1570</v>
      </c>
      <c r="C147" s="257" t="s">
        <v>71</v>
      </c>
      <c r="D147" s="258">
        <v>260</v>
      </c>
      <c r="E147" s="678"/>
      <c r="F147" s="387">
        <f>(D147*E147)</f>
        <v>0</v>
      </c>
      <c r="G147" s="387"/>
      <c r="I147" s="457"/>
    </row>
    <row r="148" spans="1:9" s="439" customFormat="1">
      <c r="A148" s="260"/>
      <c r="B148" s="252"/>
      <c r="C148" s="257"/>
      <c r="D148" s="258"/>
      <c r="E148" s="259"/>
      <c r="F148" s="387"/>
      <c r="G148" s="387"/>
      <c r="I148" s="457"/>
    </row>
    <row r="149" spans="1:9" s="439" customFormat="1" ht="28.5">
      <c r="A149" s="260" t="s">
        <v>810</v>
      </c>
      <c r="B149" s="252" t="s">
        <v>1379</v>
      </c>
      <c r="C149" s="257" t="s">
        <v>40</v>
      </c>
      <c r="D149" s="258">
        <v>0.216</v>
      </c>
      <c r="E149" s="678"/>
      <c r="F149" s="387">
        <f t="shared" ref="F149" si="8">(D149*E149)</f>
        <v>0</v>
      </c>
      <c r="G149" s="387"/>
      <c r="I149" s="457"/>
    </row>
    <row r="150" spans="1:9" s="439" customFormat="1">
      <c r="A150" s="260"/>
      <c r="B150" s="252"/>
      <c r="C150" s="257"/>
      <c r="D150" s="258"/>
      <c r="E150" s="259"/>
      <c r="F150" s="387"/>
      <c r="G150" s="387"/>
      <c r="I150" s="457"/>
    </row>
    <row r="151" spans="1:9" s="439" customFormat="1">
      <c r="A151" s="260" t="s">
        <v>1382</v>
      </c>
      <c r="B151" s="252" t="s">
        <v>1380</v>
      </c>
      <c r="C151" s="257" t="s">
        <v>40</v>
      </c>
      <c r="D151" s="258">
        <v>0.57599999999999996</v>
      </c>
      <c r="E151" s="678"/>
      <c r="F151" s="387">
        <f t="shared" ref="F151" si="9">(D151*E151)</f>
        <v>0</v>
      </c>
      <c r="G151" s="387"/>
      <c r="I151" s="457"/>
    </row>
    <row r="152" spans="1:9" s="439" customFormat="1">
      <c r="A152" s="260"/>
      <c r="B152" s="252"/>
      <c r="C152" s="257"/>
      <c r="D152" s="258"/>
      <c r="E152" s="259"/>
      <c r="F152" s="387"/>
      <c r="G152" s="387"/>
      <c r="I152" s="457"/>
    </row>
    <row r="153" spans="1:9" s="439" customFormat="1">
      <c r="A153" s="260" t="s">
        <v>1383</v>
      </c>
      <c r="B153" s="252" t="s">
        <v>1381</v>
      </c>
      <c r="C153" s="257" t="s">
        <v>11</v>
      </c>
      <c r="D153" s="258">
        <v>5.76</v>
      </c>
      <c r="E153" s="678"/>
      <c r="F153" s="387">
        <f t="shared" ref="F153" si="10">(D153*E153)</f>
        <v>0</v>
      </c>
      <c r="G153" s="387"/>
      <c r="I153" s="457"/>
    </row>
    <row r="154" spans="1:9" s="439" customFormat="1">
      <c r="A154" s="260"/>
      <c r="B154" s="252"/>
      <c r="C154" s="257"/>
      <c r="D154" s="258"/>
      <c r="E154" s="259"/>
      <c r="F154" s="387"/>
      <c r="G154" s="387"/>
      <c r="I154" s="457"/>
    </row>
    <row r="155" spans="1:9" s="439" customFormat="1">
      <c r="A155" s="260" t="s">
        <v>1384</v>
      </c>
      <c r="B155" s="252" t="s">
        <v>1660</v>
      </c>
      <c r="C155" s="257" t="s">
        <v>71</v>
      </c>
      <c r="D155" s="258">
        <v>54.96</v>
      </c>
      <c r="E155" s="678"/>
      <c r="F155" s="387">
        <f t="shared" ref="F155" si="11">(D155*E155)</f>
        <v>0</v>
      </c>
      <c r="G155" s="387"/>
      <c r="I155" s="457"/>
    </row>
    <row r="156" spans="1:9" s="439" customFormat="1" ht="15.75" thickBot="1">
      <c r="A156" s="235"/>
      <c r="B156" s="236"/>
      <c r="C156" s="237"/>
      <c r="D156" s="238"/>
      <c r="E156" s="239"/>
      <c r="F156" s="389"/>
      <c r="G156" s="389"/>
      <c r="I156" s="454"/>
    </row>
    <row r="157" spans="1:9" s="439" customFormat="1" ht="16.5" thickTop="1" thickBot="1">
      <c r="A157" s="241" t="s">
        <v>76</v>
      </c>
      <c r="B157" s="242" t="s">
        <v>57</v>
      </c>
      <c r="C157" s="243"/>
      <c r="D157" s="244"/>
      <c r="E157" s="245"/>
      <c r="F157" s="390">
        <f>SUM(F143:F155)</f>
        <v>0</v>
      </c>
      <c r="G157" s="390"/>
      <c r="I157" s="454"/>
    </row>
    <row r="158" spans="1:9" s="439" customFormat="1" ht="16.5" thickTop="1" thickBot="1">
      <c r="A158" s="232"/>
      <c r="B158" s="252"/>
      <c r="C158" s="257"/>
      <c r="D158" s="258"/>
      <c r="E158" s="259"/>
      <c r="F158" s="388"/>
      <c r="G158" s="388"/>
      <c r="I158" s="454"/>
    </row>
    <row r="159" spans="1:9" s="439" customFormat="1" ht="18" thickBot="1">
      <c r="A159" s="440" t="s">
        <v>50</v>
      </c>
      <c r="B159" s="455" t="s">
        <v>777</v>
      </c>
      <c r="C159" s="442"/>
      <c r="D159" s="60"/>
      <c r="E159" s="26"/>
      <c r="F159" s="447">
        <f>F88+F139+F157</f>
        <v>0</v>
      </c>
      <c r="G159" s="447"/>
      <c r="I159" s="454"/>
    </row>
    <row r="160" spans="1:9" s="439" customFormat="1">
      <c r="A160" s="446"/>
      <c r="B160" s="69"/>
      <c r="C160" s="66"/>
      <c r="D160" s="66"/>
      <c r="E160" s="67"/>
      <c r="F160" s="448"/>
      <c r="G160" s="462"/>
      <c r="I160" s="454"/>
    </row>
  </sheetData>
  <sheetProtection algorithmName="SHA-512" hashValue="GUKdSwO6je9IE+ox3mCf17i70CSmDofpObvsnWTwqd17mZYPQhhieUmepUqNsclfA5RzQKGgwCqHYMTGbaLJ2w==" saltValue="UqUM6z31NNpVgbdw4fSIUQ==" spinCount="100000" sheet="1" objects="1" scenarios="1" selectLockedCells="1"/>
  <customSheetViews>
    <customSheetView guid="{14FA32B8-8DA0-4B39-A6E2-254F8891DDCC}" scale="85" showPageBreaks="1" printArea="1" view="pageBreakPreview" topLeftCell="A59">
      <selection activeCell="F73" sqref="F73"/>
      <rowBreaks count="3" manualBreakCount="3">
        <brk id="37" max="5" man="1"/>
        <brk id="73" max="5" man="1"/>
        <brk id="90" max="5" man="1"/>
      </rowBreaks>
      <colBreaks count="1" manualBreakCount="1">
        <brk id="6" max="1048575" man="1"/>
      </colBreaks>
      <pageMargins left="0.7" right="0.7" top="0.75" bottom="0.75" header="0.3" footer="0.3"/>
      <pageSetup paperSize="9" scale="64" orientation="portrait" r:id="rId1"/>
      <headerFooter>
        <oddHeader>&amp;CUREDITEV RAFUTSKEGA PARKA Z LAŠČAKOVO VILO - Park&amp;RLUZ, d.d.</oddHeader>
        <oddFooter>&amp;C&amp;P</oddFooter>
      </headerFooter>
    </customSheetView>
  </customSheetViews>
  <mergeCells count="2">
    <mergeCell ref="A1:F2"/>
    <mergeCell ref="A3:B3"/>
  </mergeCells>
  <pageMargins left="0.7" right="0.7" top="0.75" bottom="0.75" header="0.3" footer="0.3"/>
  <pageSetup paperSize="9" scale="62" orientation="portrait" r:id="rId2"/>
  <headerFooter>
    <oddHeader>&amp;CUREDITEV RAFUTSKEGA PARKA Z LAŠČAKOVO VILO - Park&amp;RLUZ, d.d.</oddHeader>
    <oddFooter>&amp;C&amp;P</oddFooter>
  </headerFooter>
  <rowBreaks count="4" manualBreakCount="4">
    <brk id="33" max="6" man="1"/>
    <brk id="66" max="6" man="1"/>
    <brk id="89" max="6" man="1"/>
    <brk id="107" max="6" man="1"/>
  </rowBreaks>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I57"/>
  <sheetViews>
    <sheetView view="pageBreakPreview" zoomScale="80" zoomScaleNormal="100" zoomScaleSheetLayoutView="80" workbookViewId="0">
      <pane ySplit="6" topLeftCell="A38" activePane="bottomLeft" state="frozen"/>
      <selection pane="bottomLeft" activeCell="E39" sqref="E39"/>
    </sheetView>
  </sheetViews>
  <sheetFormatPr defaultRowHeight="15"/>
  <cols>
    <col min="1" max="1" width="10.5703125" style="68" bestFit="1" customWidth="1"/>
    <col min="2" max="2" width="75.5703125" style="69" customWidth="1"/>
    <col min="3" max="3" width="7.140625" style="65" bestFit="1" customWidth="1"/>
    <col min="4" max="4" width="9.5703125" style="66" bestFit="1" customWidth="1"/>
    <col min="5" max="5" width="11.140625" style="67" bestFit="1" customWidth="1"/>
    <col min="6" max="6" width="13.85546875" style="70" bestFit="1" customWidth="1"/>
    <col min="8" max="8" width="63.42578125" customWidth="1"/>
  </cols>
  <sheetData>
    <row r="1" spans="1:9">
      <c r="A1" s="1355" t="str">
        <f>Info!B1</f>
        <v>UREDITEV RAFUTSKEGA PARKA Z LAŠČAKOVO VILO - Park</v>
      </c>
      <c r="B1" s="1356"/>
      <c r="C1" s="1356"/>
      <c r="D1" s="1356"/>
      <c r="E1" s="1356"/>
      <c r="F1" s="1357"/>
    </row>
    <row r="2" spans="1:9" ht="15.75" thickBot="1">
      <c r="A2" s="1358"/>
      <c r="B2" s="1359"/>
      <c r="C2" s="1359"/>
      <c r="D2" s="1359"/>
      <c r="E2" s="1359"/>
      <c r="F2" s="1360"/>
    </row>
    <row r="3" spans="1:9" ht="15.75" thickBot="1">
      <c r="A3" s="1361"/>
      <c r="B3" s="1362"/>
      <c r="C3" s="5"/>
      <c r="D3" s="572"/>
      <c r="E3" s="573"/>
      <c r="F3" s="574"/>
    </row>
    <row r="4" spans="1:9" ht="18" thickBot="1">
      <c r="A4" s="1363" t="s">
        <v>835</v>
      </c>
      <c r="B4" s="1364"/>
      <c r="C4" s="1364"/>
      <c r="D4" s="1364"/>
      <c r="E4" s="1364"/>
      <c r="F4" s="1365"/>
    </row>
    <row r="5" spans="1:9">
      <c r="A5" s="577"/>
      <c r="B5" s="578"/>
      <c r="C5" s="579"/>
      <c r="D5" s="579"/>
      <c r="E5" s="580"/>
      <c r="F5" s="580"/>
    </row>
    <row r="6" spans="1:9" ht="85.5">
      <c r="A6" s="582" t="s">
        <v>1</v>
      </c>
      <c r="B6" s="583" t="s">
        <v>2</v>
      </c>
      <c r="C6" s="584" t="s">
        <v>4</v>
      </c>
      <c r="D6" s="585" t="s">
        <v>9</v>
      </c>
      <c r="E6" s="586" t="s">
        <v>5</v>
      </c>
      <c r="F6" s="588" t="s">
        <v>1613</v>
      </c>
    </row>
    <row r="7" spans="1:9" ht="15.75" thickBot="1">
      <c r="A7" s="589"/>
      <c r="B7" s="590"/>
      <c r="C7" s="591"/>
      <c r="D7" s="592"/>
      <c r="E7" s="593"/>
      <c r="F7" s="595"/>
    </row>
    <row r="8" spans="1:9" ht="18" thickBot="1">
      <c r="A8" s="596" t="s">
        <v>51</v>
      </c>
      <c r="B8" s="597" t="s">
        <v>83</v>
      </c>
      <c r="C8" s="598"/>
      <c r="D8" s="599"/>
      <c r="E8" s="600"/>
      <c r="F8" s="601"/>
      <c r="I8" s="145"/>
    </row>
    <row r="9" spans="1:9">
      <c r="A9" s="27"/>
      <c r="B9" s="28"/>
      <c r="C9" s="29"/>
      <c r="D9" s="30"/>
      <c r="E9" s="31"/>
      <c r="F9" s="32"/>
    </row>
    <row r="10" spans="1:9">
      <c r="A10" s="33" t="s">
        <v>68</v>
      </c>
      <c r="B10" s="61" t="s">
        <v>821</v>
      </c>
      <c r="C10" s="34"/>
      <c r="D10" s="35"/>
      <c r="E10" s="36"/>
      <c r="F10" s="37"/>
    </row>
    <row r="11" spans="1:9">
      <c r="A11" s="27"/>
      <c r="B11" s="199"/>
      <c r="C11" s="29"/>
      <c r="D11" s="30"/>
      <c r="E11" s="31"/>
      <c r="F11" s="32"/>
    </row>
    <row r="12" spans="1:9" ht="57">
      <c r="A12" s="38" t="s">
        <v>822</v>
      </c>
      <c r="B12" s="57" t="s">
        <v>811</v>
      </c>
      <c r="C12" s="58"/>
      <c r="D12" s="146"/>
      <c r="E12" s="54"/>
      <c r="F12" s="37"/>
    </row>
    <row r="13" spans="1:9">
      <c r="A13" s="38"/>
      <c r="B13" s="57"/>
      <c r="C13" s="58"/>
      <c r="D13" s="146"/>
      <c r="E13" s="54"/>
      <c r="F13" s="37"/>
    </row>
    <row r="14" spans="1:9">
      <c r="A14" s="38"/>
      <c r="B14" s="57"/>
      <c r="C14" s="58" t="s">
        <v>10</v>
      </c>
      <c r="D14" s="146">
        <v>1</v>
      </c>
      <c r="E14" s="727"/>
      <c r="F14" s="37">
        <f>+D14*E14</f>
        <v>0</v>
      </c>
    </row>
    <row r="15" spans="1:9">
      <c r="A15" s="38"/>
      <c r="B15" s="57"/>
      <c r="C15" s="58"/>
      <c r="D15" s="146"/>
      <c r="E15" s="54"/>
      <c r="F15" s="37"/>
    </row>
    <row r="16" spans="1:9" ht="74.25" customHeight="1">
      <c r="A16" s="38" t="s">
        <v>823</v>
      </c>
      <c r="B16" s="57" t="s">
        <v>812</v>
      </c>
      <c r="C16" s="58"/>
      <c r="D16" s="146"/>
      <c r="E16" s="54"/>
      <c r="F16" s="37"/>
    </row>
    <row r="17" spans="1:6">
      <c r="A17" s="38"/>
      <c r="B17" s="57"/>
      <c r="C17" s="58"/>
      <c r="D17" s="146"/>
      <c r="E17" s="54"/>
      <c r="F17" s="37"/>
    </row>
    <row r="18" spans="1:6">
      <c r="A18" s="38"/>
      <c r="B18" s="57"/>
      <c r="C18" s="58" t="s">
        <v>10</v>
      </c>
      <c r="D18" s="146">
        <v>2</v>
      </c>
      <c r="E18" s="727"/>
      <c r="F18" s="37">
        <f>+D18*E18</f>
        <v>0</v>
      </c>
    </row>
    <row r="19" spans="1:6">
      <c r="A19" s="38"/>
      <c r="B19" s="57"/>
      <c r="C19" s="58"/>
      <c r="D19" s="146"/>
      <c r="E19" s="54"/>
      <c r="F19" s="37"/>
    </row>
    <row r="20" spans="1:6" ht="60" customHeight="1">
      <c r="A20" s="38" t="s">
        <v>824</v>
      </c>
      <c r="B20" s="57" t="s">
        <v>813</v>
      </c>
      <c r="C20" s="58"/>
      <c r="D20" s="146"/>
      <c r="E20" s="54"/>
      <c r="F20" s="37"/>
    </row>
    <row r="21" spans="1:6">
      <c r="A21" s="38"/>
      <c r="B21" s="57"/>
      <c r="C21" s="58" t="s">
        <v>10</v>
      </c>
      <c r="D21" s="146">
        <v>2</v>
      </c>
      <c r="E21" s="727"/>
      <c r="F21" s="37">
        <f>+D21*E21</f>
        <v>0</v>
      </c>
    </row>
    <row r="22" spans="1:6">
      <c r="A22" s="38"/>
      <c r="B22" s="57"/>
      <c r="C22" s="58"/>
      <c r="D22" s="146"/>
      <c r="E22" s="54"/>
      <c r="F22" s="37"/>
    </row>
    <row r="23" spans="1:6" ht="57">
      <c r="A23" s="38" t="s">
        <v>825</v>
      </c>
      <c r="B23" s="57" t="s">
        <v>814</v>
      </c>
      <c r="C23" s="58"/>
      <c r="D23" s="146"/>
      <c r="E23" s="54"/>
      <c r="F23" s="37"/>
    </row>
    <row r="24" spans="1:6">
      <c r="A24" s="38"/>
      <c r="B24" s="57"/>
      <c r="C24" s="58"/>
      <c r="D24" s="146"/>
      <c r="E24" s="54"/>
      <c r="F24" s="37"/>
    </row>
    <row r="25" spans="1:6">
      <c r="A25" s="38"/>
      <c r="B25" s="57"/>
      <c r="C25" s="58"/>
      <c r="D25" s="146"/>
      <c r="E25" s="54"/>
      <c r="F25" s="37"/>
    </row>
    <row r="26" spans="1:6">
      <c r="A26" s="38"/>
      <c r="B26" s="57"/>
      <c r="C26" s="58"/>
      <c r="D26" s="146"/>
      <c r="E26" s="54"/>
      <c r="F26" s="37"/>
    </row>
    <row r="27" spans="1:6">
      <c r="A27" s="38"/>
      <c r="C27" s="58" t="s">
        <v>10</v>
      </c>
      <c r="D27" s="146">
        <v>1</v>
      </c>
      <c r="E27" s="727"/>
      <c r="F27" s="37">
        <f>+D27*E27</f>
        <v>0</v>
      </c>
    </row>
    <row r="28" spans="1:6">
      <c r="A28" s="38"/>
      <c r="B28" s="57"/>
      <c r="C28" s="58"/>
      <c r="D28" s="146"/>
      <c r="E28" s="54"/>
      <c r="F28" s="37"/>
    </row>
    <row r="29" spans="1:6" ht="61.5" customHeight="1">
      <c r="A29" s="38"/>
      <c r="B29" s="57" t="s">
        <v>815</v>
      </c>
      <c r="C29" s="58"/>
      <c r="D29" s="146"/>
      <c r="E29" s="54"/>
      <c r="F29" s="37"/>
    </row>
    <row r="30" spans="1:6">
      <c r="A30" s="38" t="s">
        <v>826</v>
      </c>
      <c r="B30" s="57" t="s">
        <v>819</v>
      </c>
      <c r="C30" s="58" t="s">
        <v>11</v>
      </c>
      <c r="D30" s="146">
        <v>75</v>
      </c>
      <c r="E30" s="727"/>
      <c r="F30" s="37">
        <f>+E30*D30</f>
        <v>0</v>
      </c>
    </row>
    <row r="31" spans="1:6">
      <c r="A31" s="38" t="s">
        <v>827</v>
      </c>
      <c r="B31" s="57" t="s">
        <v>820</v>
      </c>
      <c r="C31" s="58" t="s">
        <v>70</v>
      </c>
      <c r="D31" s="146">
        <v>97</v>
      </c>
      <c r="E31" s="727"/>
      <c r="F31" s="37">
        <f>+E31*D31</f>
        <v>0</v>
      </c>
    </row>
    <row r="32" spans="1:6">
      <c r="A32" s="38"/>
      <c r="B32" s="57"/>
      <c r="C32" s="58"/>
      <c r="D32" s="146"/>
      <c r="E32" s="54"/>
      <c r="F32" s="37"/>
    </row>
    <row r="33" spans="1:6" ht="102.75" customHeight="1">
      <c r="A33" s="38" t="s">
        <v>828</v>
      </c>
      <c r="B33" s="57" t="s">
        <v>1086</v>
      </c>
      <c r="C33" s="58"/>
      <c r="D33" s="146"/>
      <c r="E33" s="54"/>
      <c r="F33" s="37"/>
    </row>
    <row r="34" spans="1:6">
      <c r="A34" s="38"/>
      <c r="B34" s="57"/>
      <c r="C34" s="58"/>
      <c r="D34" s="146"/>
      <c r="E34" s="54"/>
      <c r="F34" s="37"/>
    </row>
    <row r="35" spans="1:6">
      <c r="A35" s="38"/>
      <c r="B35" s="57"/>
      <c r="C35" s="58" t="s">
        <v>84</v>
      </c>
      <c r="D35" s="146">
        <v>109</v>
      </c>
      <c r="E35" s="727"/>
      <c r="F35" s="37">
        <f>+E35*D35</f>
        <v>0</v>
      </c>
    </row>
    <row r="36" spans="1:6">
      <c r="A36" s="38"/>
      <c r="B36" s="57"/>
      <c r="C36" s="58"/>
      <c r="D36" s="146"/>
      <c r="E36" s="54"/>
      <c r="F36" s="37"/>
    </row>
    <row r="37" spans="1:6" ht="60" customHeight="1">
      <c r="A37" s="38" t="s">
        <v>829</v>
      </c>
      <c r="B37" s="57" t="s">
        <v>816</v>
      </c>
      <c r="C37" s="58"/>
      <c r="D37" s="146"/>
      <c r="E37" s="54"/>
      <c r="F37" s="37"/>
    </row>
    <row r="38" spans="1:6">
      <c r="A38" s="38"/>
      <c r="B38" s="57"/>
      <c r="C38" s="58"/>
      <c r="D38" s="146"/>
      <c r="E38" s="54"/>
      <c r="F38" s="37"/>
    </row>
    <row r="39" spans="1:6">
      <c r="A39" s="38"/>
      <c r="B39" s="57"/>
      <c r="C39" s="58" t="s">
        <v>11</v>
      </c>
      <c r="D39" s="146">
        <v>55</v>
      </c>
      <c r="E39" s="727"/>
      <c r="F39" s="37">
        <f>+E39*D39</f>
        <v>0</v>
      </c>
    </row>
    <row r="40" spans="1:6">
      <c r="A40" s="38"/>
      <c r="B40" s="57"/>
      <c r="C40" s="58"/>
      <c r="D40" s="146"/>
      <c r="E40" s="54"/>
      <c r="F40" s="37"/>
    </row>
    <row r="41" spans="1:6" ht="45.75" customHeight="1">
      <c r="A41" s="38" t="s">
        <v>830</v>
      </c>
      <c r="B41" s="57" t="s">
        <v>817</v>
      </c>
      <c r="C41" s="58"/>
      <c r="D41" s="146"/>
      <c r="E41" s="54"/>
      <c r="F41" s="37"/>
    </row>
    <row r="42" spans="1:6">
      <c r="A42" s="38"/>
      <c r="B42" s="57"/>
      <c r="C42" s="58"/>
      <c r="D42" s="146"/>
      <c r="E42" s="54"/>
      <c r="F42" s="37"/>
    </row>
    <row r="43" spans="1:6">
      <c r="A43" s="38"/>
      <c r="B43" s="57"/>
      <c r="C43" s="58" t="s">
        <v>10</v>
      </c>
      <c r="D43" s="146">
        <v>44</v>
      </c>
      <c r="E43" s="727"/>
      <c r="F43" s="37">
        <f>+E43*D43</f>
        <v>0</v>
      </c>
    </row>
    <row r="44" spans="1:6">
      <c r="A44" s="38"/>
      <c r="B44" s="57"/>
      <c r="C44" s="58"/>
      <c r="D44" s="146"/>
      <c r="E44" s="54"/>
      <c r="F44" s="37"/>
    </row>
    <row r="45" spans="1:6" ht="73.5" customHeight="1">
      <c r="A45" s="38" t="s">
        <v>831</v>
      </c>
      <c r="B45" s="57" t="s">
        <v>818</v>
      </c>
      <c r="C45" s="58"/>
      <c r="D45" s="146"/>
      <c r="E45" s="54"/>
      <c r="F45" s="37"/>
    </row>
    <row r="46" spans="1:6">
      <c r="A46" s="38"/>
      <c r="B46" s="57" t="s">
        <v>658</v>
      </c>
      <c r="C46" s="58"/>
      <c r="D46" s="146"/>
      <c r="E46" s="54"/>
      <c r="F46" s="37"/>
    </row>
    <row r="47" spans="1:6">
      <c r="A47" s="38"/>
      <c r="B47" s="57"/>
      <c r="C47" s="58" t="s">
        <v>70</v>
      </c>
      <c r="D47" s="146">
        <v>115</v>
      </c>
      <c r="E47" s="727"/>
      <c r="F47" s="37">
        <f>+E47*D47</f>
        <v>0</v>
      </c>
    </row>
    <row r="48" spans="1:6">
      <c r="A48" s="38"/>
      <c r="B48" s="57"/>
      <c r="C48" s="58"/>
      <c r="D48" s="146"/>
      <c r="E48" s="54"/>
      <c r="F48" s="37"/>
    </row>
    <row r="49" spans="1:8" ht="42.75">
      <c r="A49" s="38" t="s">
        <v>1114</v>
      </c>
      <c r="B49" s="57" t="s">
        <v>1115</v>
      </c>
      <c r="C49" s="58"/>
      <c r="D49" s="146"/>
      <c r="E49" s="54"/>
      <c r="F49" s="37"/>
    </row>
    <row r="50" spans="1:8">
      <c r="A50" s="38"/>
      <c r="B50" s="57"/>
      <c r="C50" s="58"/>
      <c r="D50" s="146"/>
      <c r="E50" s="54"/>
      <c r="F50" s="37"/>
    </row>
    <row r="51" spans="1:8">
      <c r="A51" s="38"/>
      <c r="B51" s="57"/>
      <c r="C51" s="58" t="s">
        <v>70</v>
      </c>
      <c r="D51" s="40">
        <v>60</v>
      </c>
      <c r="E51" s="727"/>
      <c r="F51" s="37">
        <f>+E51*D51</f>
        <v>0</v>
      </c>
      <c r="H51" s="111"/>
    </row>
    <row r="52" spans="1:8">
      <c r="A52" s="38"/>
      <c r="B52" s="57"/>
      <c r="C52" s="58"/>
      <c r="D52" s="146"/>
      <c r="E52" s="54"/>
      <c r="F52" s="37"/>
    </row>
    <row r="53" spans="1:8" ht="218.25" customHeight="1">
      <c r="A53" s="38"/>
      <c r="B53" s="57" t="s">
        <v>1576</v>
      </c>
      <c r="C53" s="58"/>
      <c r="D53" s="146"/>
      <c r="E53" s="54"/>
      <c r="F53" s="37"/>
    </row>
    <row r="54" spans="1:8" ht="15.75" thickBot="1">
      <c r="A54" s="42"/>
      <c r="B54" s="43"/>
      <c r="C54" s="44"/>
      <c r="D54" s="45"/>
      <c r="E54" s="46"/>
      <c r="F54" s="47"/>
    </row>
    <row r="55" spans="1:8" ht="16.5" thickTop="1" thickBot="1">
      <c r="A55" s="48" t="s">
        <v>68</v>
      </c>
      <c r="B55" s="49" t="s">
        <v>832</v>
      </c>
      <c r="C55" s="50"/>
      <c r="D55" s="51"/>
      <c r="E55" s="52"/>
      <c r="F55" s="53">
        <f>SUM(F14:F54)</f>
        <v>0</v>
      </c>
    </row>
    <row r="56" spans="1:8" ht="16.5" thickTop="1" thickBot="1">
      <c r="A56" s="38"/>
      <c r="B56" s="57"/>
      <c r="C56" s="58"/>
      <c r="D56" s="146"/>
      <c r="E56" s="54"/>
      <c r="F56" s="37"/>
    </row>
    <row r="57" spans="1:8" ht="18" thickBot="1">
      <c r="A57" s="75" t="s">
        <v>51</v>
      </c>
      <c r="B57" s="76" t="s">
        <v>83</v>
      </c>
      <c r="C57" s="25"/>
      <c r="D57" s="60"/>
      <c r="E57" s="26"/>
      <c r="F57" s="80">
        <f>+F55</f>
        <v>0</v>
      </c>
    </row>
  </sheetData>
  <sheetProtection algorithmName="SHA-512" hashValue="bSFHHvXIK0BGZTNfcfDVIixE6SfVX4if5CJPcnkXdNzAis8NlWGv1bcKi6YkZu//Js5xaZmEfYJW2VriwwkHJA==" saltValue="IOdjLl/ByDns0d/9ZYmtbw==" spinCount="100000" sheet="1" objects="1" scenarios="1" selectLockedCells="1"/>
  <customSheetViews>
    <customSheetView guid="{14FA32B8-8DA0-4B39-A6E2-254F8891DDCC}" scale="60" showPageBreaks="1" printArea="1" view="pageBreakPreview" topLeftCell="A25">
      <selection activeCell="H53" sqref="H53"/>
      <colBreaks count="1" manualBreakCount="1">
        <brk id="6" max="1048575" man="1"/>
      </colBreaks>
      <pageMargins left="0.7" right="0.7" top="0.75" bottom="0.75" header="0.3" footer="0.3"/>
      <pageSetup paperSize="9" scale="68" orientation="portrait" r:id="rId1"/>
      <headerFooter>
        <oddHeader>&amp;CUREDITEV RAFUTSKEGA PARKA Z LAŠČAKOVO VILO - Park&amp;RLUZ, d.d.</oddHeader>
        <oddFooter>&amp;C&amp;P</oddFooter>
      </headerFooter>
    </customSheetView>
  </customSheetViews>
  <mergeCells count="3">
    <mergeCell ref="A1:F2"/>
    <mergeCell ref="A3:B3"/>
    <mergeCell ref="A4:F4"/>
  </mergeCells>
  <pageMargins left="0.7" right="0.7" top="0.75" bottom="0.75" header="0.3" footer="0.3"/>
  <pageSetup paperSize="9" scale="68" orientation="portrait" r:id="rId2"/>
  <headerFooter>
    <oddHeader>&amp;CUREDITEV RAFUTSKEGA PARKA Z LAŠČAKOVO VILO - Park&amp;RLUZ, d.d.</oddHeader>
    <oddFooter>&amp;C&amp;P</oddFooter>
  </headerFooter>
  <colBreaks count="1" manualBreakCount="1">
    <brk id="6"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AQ48"/>
  <sheetViews>
    <sheetView view="pageBreakPreview" zoomScale="80" zoomScaleNormal="100" zoomScaleSheetLayoutView="80" workbookViewId="0">
      <selection activeCell="I15" sqref="I15"/>
    </sheetView>
  </sheetViews>
  <sheetFormatPr defaultRowHeight="15"/>
  <cols>
    <col min="1" max="1" width="10.42578125" style="68" bestFit="1" customWidth="1"/>
    <col min="2" max="2" width="75.5703125" style="69" customWidth="1"/>
    <col min="3" max="3" width="6.42578125" style="65" bestFit="1" customWidth="1"/>
    <col min="4" max="4" width="9.42578125" style="66" bestFit="1" customWidth="1"/>
    <col min="5" max="5" width="11" style="67" bestFit="1" customWidth="1"/>
    <col min="6" max="6" width="13.7109375" style="70" bestFit="1" customWidth="1"/>
    <col min="8" max="8" width="63.42578125" customWidth="1"/>
  </cols>
  <sheetData>
    <row r="1" spans="1:17">
      <c r="A1" s="1355" t="str">
        <f>Info!B1</f>
        <v>UREDITEV RAFUTSKEGA PARKA Z LAŠČAKOVO VILO - Park</v>
      </c>
      <c r="B1" s="1356"/>
      <c r="C1" s="1356"/>
      <c r="D1" s="1356"/>
      <c r="E1" s="1356"/>
      <c r="F1" s="1357"/>
    </row>
    <row r="2" spans="1:17" ht="15.75" thickBot="1">
      <c r="A2" s="1358"/>
      <c r="B2" s="1359"/>
      <c r="C2" s="1359"/>
      <c r="D2" s="1359"/>
      <c r="E2" s="1359"/>
      <c r="F2" s="1360"/>
    </row>
    <row r="3" spans="1:17" ht="15.75" thickBot="1">
      <c r="A3" s="1361"/>
      <c r="B3" s="1362"/>
      <c r="C3" s="5"/>
      <c r="D3" s="572"/>
      <c r="E3" s="573"/>
      <c r="F3" s="574"/>
    </row>
    <row r="4" spans="1:17" ht="18" thickBot="1">
      <c r="A4" s="1363" t="s">
        <v>836</v>
      </c>
      <c r="B4" s="1364"/>
      <c r="C4" s="1364"/>
      <c r="D4" s="1364"/>
      <c r="E4" s="1364"/>
      <c r="F4" s="1365"/>
    </row>
    <row r="5" spans="1:17" s="154" customFormat="1" ht="74.25" customHeight="1">
      <c r="A5" s="1370" t="s">
        <v>364</v>
      </c>
      <c r="B5" s="1370"/>
      <c r="C5" s="1370"/>
      <c r="D5" s="1370"/>
      <c r="E5" s="1370"/>
      <c r="F5" s="1370"/>
      <c r="H5" s="155"/>
      <c r="J5" s="160"/>
      <c r="K5" s="159"/>
      <c r="L5" s="153"/>
      <c r="M5" s="158"/>
      <c r="N5" s="157"/>
      <c r="O5" s="156"/>
      <c r="Q5" s="155"/>
    </row>
    <row r="6" spans="1:17" s="201" customFormat="1" ht="32.25" customHeight="1">
      <c r="A6" s="1371" t="s">
        <v>459</v>
      </c>
      <c r="B6" s="1371"/>
      <c r="C6" s="1371"/>
      <c r="D6" s="1371"/>
      <c r="E6" s="1371"/>
      <c r="F6" s="1371"/>
      <c r="H6" s="202"/>
      <c r="J6" s="200"/>
      <c r="K6" s="203"/>
      <c r="L6" s="204"/>
      <c r="M6" s="205"/>
      <c r="N6" s="206"/>
      <c r="O6" s="207"/>
      <c r="Q6" s="202"/>
    </row>
    <row r="7" spans="1:17" s="201" customFormat="1" ht="60" customHeight="1">
      <c r="A7" s="1372" t="s">
        <v>363</v>
      </c>
      <c r="B7" s="1372"/>
      <c r="C7" s="1372"/>
      <c r="D7" s="1372"/>
      <c r="E7" s="1372"/>
      <c r="F7" s="1372"/>
      <c r="H7" s="202"/>
      <c r="J7" s="200"/>
      <c r="K7" s="203"/>
      <c r="L7" s="204"/>
      <c r="M7" s="205"/>
      <c r="N7" s="206"/>
      <c r="O7" s="207"/>
      <c r="Q7" s="202"/>
    </row>
    <row r="8" spans="1:17" s="201" customFormat="1" ht="59.25" customHeight="1">
      <c r="A8" s="1372" t="s">
        <v>362</v>
      </c>
      <c r="B8" s="1372"/>
      <c r="C8" s="1372"/>
      <c r="D8" s="1372"/>
      <c r="E8" s="1372"/>
      <c r="F8" s="1372"/>
      <c r="H8" s="202"/>
      <c r="J8" s="200"/>
      <c r="K8" s="203"/>
      <c r="L8" s="204"/>
      <c r="M8" s="205"/>
      <c r="N8" s="206"/>
      <c r="O8" s="207"/>
      <c r="Q8" s="202"/>
    </row>
    <row r="9" spans="1:17" s="201" customFormat="1" ht="60.75" customHeight="1">
      <c r="A9" s="1372" t="s">
        <v>361</v>
      </c>
      <c r="B9" s="1372"/>
      <c r="C9" s="1372"/>
      <c r="D9" s="1372"/>
      <c r="E9" s="1372"/>
      <c r="F9" s="1372"/>
      <c r="H9" s="202"/>
      <c r="J9" s="200"/>
      <c r="K9" s="203"/>
      <c r="L9" s="204"/>
      <c r="M9" s="205"/>
      <c r="N9" s="206"/>
      <c r="O9" s="207"/>
      <c r="Q9" s="202"/>
    </row>
    <row r="10" spans="1:17" s="201" customFormat="1" ht="73.5" customHeight="1">
      <c r="A10" s="1372" t="s">
        <v>360</v>
      </c>
      <c r="B10" s="1372"/>
      <c r="C10" s="1372"/>
      <c r="D10" s="1372"/>
      <c r="E10" s="1372"/>
      <c r="F10" s="1372"/>
      <c r="H10" s="202"/>
      <c r="J10" s="200"/>
      <c r="K10" s="203"/>
      <c r="L10" s="204"/>
      <c r="M10" s="205"/>
      <c r="N10" s="206"/>
      <c r="O10" s="207"/>
      <c r="Q10" s="202"/>
    </row>
    <row r="11" spans="1:17" s="154" customFormat="1" ht="45.75" customHeight="1">
      <c r="A11" s="1369" t="s">
        <v>359</v>
      </c>
      <c r="B11" s="1369"/>
      <c r="C11" s="1369"/>
      <c r="D11" s="1369"/>
      <c r="E11" s="1369"/>
      <c r="F11" s="1369"/>
      <c r="H11" s="155"/>
      <c r="J11" s="160"/>
      <c r="K11" s="159"/>
      <c r="L11" s="153"/>
      <c r="M11" s="158"/>
      <c r="N11" s="157"/>
      <c r="O11" s="156"/>
      <c r="Q11" s="155"/>
    </row>
    <row r="12" spans="1:17">
      <c r="A12" s="577"/>
      <c r="B12" s="578"/>
      <c r="C12" s="579"/>
      <c r="D12" s="579"/>
      <c r="E12" s="580"/>
      <c r="F12" s="580"/>
    </row>
    <row r="13" spans="1:17" ht="85.5">
      <c r="A13" s="582" t="s">
        <v>1</v>
      </c>
      <c r="B13" s="583" t="s">
        <v>2</v>
      </c>
      <c r="C13" s="584" t="s">
        <v>4</v>
      </c>
      <c r="D13" s="585" t="s">
        <v>9</v>
      </c>
      <c r="E13" s="586" t="s">
        <v>5</v>
      </c>
      <c r="F13" s="588" t="s">
        <v>1613</v>
      </c>
    </row>
    <row r="14" spans="1:17" ht="15.75" thickBot="1">
      <c r="A14" s="589"/>
      <c r="B14" s="590"/>
      <c r="C14" s="591"/>
      <c r="D14" s="592"/>
      <c r="E14" s="593"/>
      <c r="F14" s="595"/>
    </row>
    <row r="15" spans="1:17" ht="18" thickBot="1">
      <c r="A15" s="596" t="s">
        <v>69</v>
      </c>
      <c r="B15" s="597" t="s">
        <v>624</v>
      </c>
      <c r="C15" s="598"/>
      <c r="D15" s="599"/>
      <c r="E15" s="600"/>
      <c r="F15" s="601"/>
      <c r="I15" s="145"/>
    </row>
    <row r="16" spans="1:17">
      <c r="A16" s="27"/>
      <c r="B16" s="28"/>
      <c r="C16" s="29"/>
      <c r="D16" s="30"/>
      <c r="E16" s="31"/>
      <c r="F16" s="32"/>
    </row>
    <row r="17" spans="1:43">
      <c r="A17" s="33" t="s">
        <v>69</v>
      </c>
      <c r="B17" s="61" t="s">
        <v>624</v>
      </c>
      <c r="C17" s="34"/>
      <c r="D17" s="35"/>
      <c r="E17" s="36"/>
      <c r="F17" s="37"/>
    </row>
    <row r="18" spans="1:43">
      <c r="A18" s="33"/>
      <c r="B18" s="61"/>
      <c r="C18" s="34"/>
      <c r="D18" s="35"/>
      <c r="E18" s="36"/>
      <c r="F18" s="37"/>
    </row>
    <row r="19" spans="1:43" s="4" customFormat="1" ht="14.25">
      <c r="A19" s="33"/>
      <c r="B19" s="61" t="s">
        <v>357</v>
      </c>
      <c r="C19" s="34"/>
      <c r="D19" s="35"/>
      <c r="E19" s="36"/>
      <c r="F19" s="37"/>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row>
    <row r="20" spans="1:43" ht="105" customHeight="1">
      <c r="A20" s="38"/>
      <c r="B20" s="39" t="s">
        <v>356</v>
      </c>
      <c r="C20" s="62"/>
      <c r="D20" s="63"/>
      <c r="E20" s="64"/>
      <c r="F20" s="41"/>
    </row>
    <row r="21" spans="1:43" ht="47.25" customHeight="1">
      <c r="A21" s="38" t="s">
        <v>837</v>
      </c>
      <c r="B21" s="39" t="s">
        <v>355</v>
      </c>
      <c r="C21" s="62" t="s">
        <v>40</v>
      </c>
      <c r="D21" s="63">
        <v>80</v>
      </c>
      <c r="E21" s="679"/>
      <c r="F21" s="41">
        <f>+D21*E21</f>
        <v>0</v>
      </c>
    </row>
    <row r="22" spans="1:43">
      <c r="A22" s="38"/>
      <c r="B22" s="39"/>
      <c r="C22" s="62"/>
      <c r="D22" s="63"/>
      <c r="E22" s="64"/>
      <c r="F22" s="41"/>
    </row>
    <row r="23" spans="1:43" ht="90" customHeight="1">
      <c r="A23" s="38" t="s">
        <v>838</v>
      </c>
      <c r="B23" s="39" t="s">
        <v>460</v>
      </c>
      <c r="C23" s="62" t="s">
        <v>11</v>
      </c>
      <c r="D23" s="63">
        <v>8000</v>
      </c>
      <c r="E23" s="679"/>
      <c r="F23" s="41">
        <f>+D23*E23</f>
        <v>0</v>
      </c>
    </row>
    <row r="24" spans="1:43">
      <c r="A24" s="38"/>
      <c r="B24" s="39"/>
      <c r="C24" s="62"/>
      <c r="D24" s="63"/>
      <c r="E24" s="64"/>
      <c r="F24" s="41"/>
    </row>
    <row r="25" spans="1:43" s="4" customFormat="1" ht="14.25">
      <c r="A25" s="33"/>
      <c r="B25" s="61" t="s">
        <v>354</v>
      </c>
      <c r="C25" s="34"/>
      <c r="D25" s="35"/>
      <c r="E25" s="36"/>
      <c r="F25" s="37"/>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row>
    <row r="26" spans="1:43" ht="86.25" customHeight="1">
      <c r="A26" s="38"/>
      <c r="B26" s="39" t="s">
        <v>353</v>
      </c>
      <c r="C26" s="62"/>
      <c r="D26" s="63"/>
      <c r="E26" s="64"/>
      <c r="F26" s="41"/>
    </row>
    <row r="27" spans="1:43" ht="156.75">
      <c r="A27" s="38"/>
      <c r="B27" s="39" t="s">
        <v>461</v>
      </c>
      <c r="C27" s="62"/>
      <c r="D27" s="63"/>
      <c r="E27" s="64"/>
      <c r="F27" s="41"/>
    </row>
    <row r="28" spans="1:43">
      <c r="A28" s="38" t="s">
        <v>839</v>
      </c>
      <c r="B28" s="39" t="s">
        <v>352</v>
      </c>
      <c r="C28" s="62" t="s">
        <v>72</v>
      </c>
      <c r="D28" s="63">
        <v>1</v>
      </c>
      <c r="E28" s="679"/>
      <c r="F28" s="41">
        <f>D28*E28</f>
        <v>0</v>
      </c>
    </row>
    <row r="29" spans="1:43">
      <c r="A29" s="38" t="s">
        <v>840</v>
      </c>
      <c r="B29" s="39" t="s">
        <v>351</v>
      </c>
      <c r="C29" s="62" t="s">
        <v>72</v>
      </c>
      <c r="D29" s="63">
        <v>24</v>
      </c>
      <c r="E29" s="679"/>
      <c r="F29" s="41">
        <f>D29*E29</f>
        <v>0</v>
      </c>
    </row>
    <row r="30" spans="1:43">
      <c r="A30" s="38" t="s">
        <v>841</v>
      </c>
      <c r="B30" s="39" t="s">
        <v>350</v>
      </c>
      <c r="C30" s="62" t="s">
        <v>72</v>
      </c>
      <c r="D30" s="63">
        <v>37</v>
      </c>
      <c r="E30" s="679"/>
      <c r="F30" s="41">
        <f>D30*E30</f>
        <v>0</v>
      </c>
    </row>
    <row r="31" spans="1:43">
      <c r="A31" s="38" t="s">
        <v>842</v>
      </c>
      <c r="B31" s="39" t="s">
        <v>349</v>
      </c>
      <c r="C31" s="62" t="s">
        <v>72</v>
      </c>
      <c r="D31" s="63">
        <v>398</v>
      </c>
      <c r="E31" s="679"/>
      <c r="F31" s="41">
        <f>D31*E31</f>
        <v>0</v>
      </c>
    </row>
    <row r="32" spans="1:43">
      <c r="A32" s="38"/>
      <c r="B32" s="39"/>
      <c r="C32" s="62"/>
      <c r="D32" s="63"/>
      <c r="E32" s="64"/>
      <c r="F32" s="41"/>
    </row>
    <row r="33" spans="1:43" ht="85.5">
      <c r="A33" s="38" t="s">
        <v>841</v>
      </c>
      <c r="B33" s="39" t="s">
        <v>348</v>
      </c>
      <c r="C33" s="62" t="s">
        <v>10</v>
      </c>
      <c r="D33" s="63">
        <v>126</v>
      </c>
      <c r="E33" s="679"/>
      <c r="F33" s="41">
        <f>D33*E33</f>
        <v>0</v>
      </c>
    </row>
    <row r="34" spans="1:43" s="225" customFormat="1">
      <c r="A34" s="232"/>
      <c r="B34" s="233"/>
      <c r="C34" s="254"/>
      <c r="D34" s="255"/>
      <c r="E34" s="256"/>
      <c r="F34" s="234"/>
    </row>
    <row r="35" spans="1:43" s="225" customFormat="1" ht="75" customHeight="1">
      <c r="A35" s="232" t="s">
        <v>842</v>
      </c>
      <c r="B35" s="233" t="s">
        <v>1231</v>
      </c>
      <c r="C35" s="254" t="s">
        <v>10</v>
      </c>
      <c r="D35" s="255">
        <v>30</v>
      </c>
      <c r="E35" s="679"/>
      <c r="F35" s="234">
        <f>D35*E35</f>
        <v>0</v>
      </c>
    </row>
    <row r="36" spans="1:43">
      <c r="A36" s="38"/>
      <c r="B36" s="39"/>
      <c r="C36" s="62"/>
      <c r="D36" s="63"/>
      <c r="E36" s="64"/>
      <c r="F36" s="41"/>
    </row>
    <row r="37" spans="1:43" s="4" customFormat="1" ht="14.25">
      <c r="A37" s="33"/>
      <c r="B37" s="61" t="s">
        <v>347</v>
      </c>
      <c r="C37" s="34"/>
      <c r="D37" s="35"/>
      <c r="E37" s="36"/>
      <c r="F37" s="37"/>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row>
    <row r="38" spans="1:43" ht="88.5" customHeight="1">
      <c r="A38" s="38" t="s">
        <v>843</v>
      </c>
      <c r="B38" s="39" t="s">
        <v>346</v>
      </c>
      <c r="C38" s="62" t="s">
        <v>11</v>
      </c>
      <c r="D38" s="63">
        <v>116</v>
      </c>
      <c r="E38" s="679"/>
      <c r="F38" s="41">
        <f>D38*E38</f>
        <v>0</v>
      </c>
    </row>
    <row r="39" spans="1:43">
      <c r="A39" s="38"/>
      <c r="B39" s="39"/>
      <c r="C39" s="62"/>
      <c r="D39" s="63"/>
      <c r="E39" s="64"/>
      <c r="F39" s="41"/>
    </row>
    <row r="40" spans="1:43" s="4" customFormat="1" ht="14.25">
      <c r="A40" s="33"/>
      <c r="B40" s="61" t="s">
        <v>345</v>
      </c>
      <c r="C40" s="34"/>
      <c r="D40" s="35"/>
      <c r="E40" s="36"/>
      <c r="F40" s="37"/>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row>
    <row r="41" spans="1:43" ht="105" customHeight="1">
      <c r="A41" s="38" t="s">
        <v>844</v>
      </c>
      <c r="B41" s="39" t="s">
        <v>344</v>
      </c>
      <c r="C41" s="62" t="s">
        <v>11</v>
      </c>
      <c r="D41" s="63">
        <v>1690</v>
      </c>
      <c r="E41" s="679"/>
      <c r="F41" s="41">
        <f>D41*E41</f>
        <v>0</v>
      </c>
    </row>
    <row r="42" spans="1:43">
      <c r="A42" s="38"/>
      <c r="B42" s="39"/>
      <c r="C42" s="62"/>
      <c r="D42" s="63"/>
      <c r="E42" s="64"/>
      <c r="F42" s="41"/>
    </row>
    <row r="43" spans="1:43" ht="90" customHeight="1">
      <c r="A43" s="38" t="s">
        <v>1232</v>
      </c>
      <c r="B43" s="39" t="s">
        <v>343</v>
      </c>
      <c r="C43" s="62" t="s">
        <v>11</v>
      </c>
      <c r="D43" s="63">
        <v>6300</v>
      </c>
      <c r="E43" s="679"/>
      <c r="F43" s="41">
        <f>D43*E43</f>
        <v>0</v>
      </c>
    </row>
    <row r="44" spans="1:43">
      <c r="A44" s="38"/>
      <c r="B44" s="39"/>
      <c r="C44" s="62"/>
      <c r="D44" s="63"/>
      <c r="E44" s="64"/>
      <c r="F44" s="41"/>
    </row>
    <row r="45" spans="1:43" ht="15.75" thickBot="1">
      <c r="A45" s="42"/>
      <c r="B45" s="43"/>
      <c r="C45" s="44"/>
      <c r="D45" s="45"/>
      <c r="E45" s="46"/>
      <c r="F45" s="47"/>
    </row>
    <row r="46" spans="1:43" ht="16.5" thickTop="1" thickBot="1">
      <c r="A46" s="48" t="s">
        <v>69</v>
      </c>
      <c r="B46" s="49" t="s">
        <v>846</v>
      </c>
      <c r="C46" s="50"/>
      <c r="D46" s="51"/>
      <c r="E46" s="52"/>
      <c r="F46" s="53">
        <f>SUM(F19:F45)</f>
        <v>0</v>
      </c>
    </row>
    <row r="47" spans="1:43" ht="16.5" thickTop="1" thickBot="1">
      <c r="A47" s="38"/>
      <c r="B47" s="57"/>
      <c r="C47" s="77"/>
      <c r="D47" s="78"/>
      <c r="E47" s="79"/>
      <c r="F47" s="56"/>
    </row>
    <row r="48" spans="1:43" ht="18" thickBot="1">
      <c r="A48" s="75" t="s">
        <v>69</v>
      </c>
      <c r="B48" s="76" t="s">
        <v>624</v>
      </c>
      <c r="C48" s="25"/>
      <c r="D48" s="60"/>
      <c r="E48" s="26"/>
      <c r="F48" s="80">
        <f>F46</f>
        <v>0</v>
      </c>
    </row>
  </sheetData>
  <sheetProtection algorithmName="SHA-512" hashValue="VXZLqCtCSYu7nhWMIOlqko7brd0d5w/dEcrjaIc/WWT0aSNC7HdCsny3GAq1ob8scIC6vkd0sHK0V50fkjYQdw==" saltValue="le1FLdmylFt+oRORbnwAbQ==" spinCount="100000" sheet="1" objects="1" scenarios="1" selectLockedCells="1"/>
  <customSheetViews>
    <customSheetView guid="{14FA32B8-8DA0-4B39-A6E2-254F8891DDCC}" scale="60" showPageBreaks="1" printArea="1" view="pageBreakPreview" topLeftCell="A28">
      <selection activeCell="F47" sqref="F47"/>
      <colBreaks count="1" manualBreakCount="1">
        <brk id="6" max="1048575" man="1"/>
      </colBreaks>
      <pageMargins left="0.7" right="0.7" top="0.75" bottom="0.75" header="0.3" footer="0.3"/>
      <pageSetup paperSize="9" scale="69" orientation="portrait" r:id="rId1"/>
      <headerFooter>
        <oddHeader>&amp;CUREDITEV RAFUTSKEGA PARKA Z LAŠČAKOVO VILO - Park&amp;RLUZ, d.d.</oddHeader>
        <oddFooter>&amp;C&amp;P</oddFooter>
      </headerFooter>
    </customSheetView>
  </customSheetViews>
  <mergeCells count="10">
    <mergeCell ref="A1:F2"/>
    <mergeCell ref="A3:B3"/>
    <mergeCell ref="A4:F4"/>
    <mergeCell ref="A11:F11"/>
    <mergeCell ref="A5:F5"/>
    <mergeCell ref="A6:F6"/>
    <mergeCell ref="A7:F7"/>
    <mergeCell ref="A8:F8"/>
    <mergeCell ref="A9:F9"/>
    <mergeCell ref="A10:F10"/>
  </mergeCells>
  <pageMargins left="0.7" right="0.7" top="0.75" bottom="0.75" header="0.3" footer="0.3"/>
  <pageSetup paperSize="9" scale="69" orientation="portrait" r:id="rId2"/>
  <headerFooter>
    <oddHeader>&amp;CUREDITEV RAFUTSKEGA PARKA Z LAŠČAKOVO VILO - Park&amp;RLUZ, d.d.</oddHeader>
    <oddFooter>&amp;C&amp;P</oddFooter>
  </headerFooter>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AQ36"/>
  <sheetViews>
    <sheetView view="pageBreakPreview" zoomScale="80" zoomScaleNormal="100" zoomScaleSheetLayoutView="80" workbookViewId="0">
      <selection activeCell="E24" sqref="E24"/>
    </sheetView>
  </sheetViews>
  <sheetFormatPr defaultRowHeight="15"/>
  <cols>
    <col min="1" max="1" width="10.42578125" style="68" bestFit="1" customWidth="1"/>
    <col min="2" max="2" width="75.5703125" style="69" customWidth="1"/>
    <col min="3" max="3" width="6.42578125" style="65" bestFit="1" customWidth="1"/>
    <col min="4" max="4" width="9.42578125" style="66" bestFit="1" customWidth="1"/>
    <col min="5" max="5" width="11" style="67" bestFit="1" customWidth="1"/>
    <col min="6" max="6" width="13.7109375" style="70" bestFit="1" customWidth="1"/>
    <col min="8" max="8" width="34.28515625" customWidth="1"/>
  </cols>
  <sheetData>
    <row r="1" spans="1:43">
      <c r="A1" s="1355" t="str">
        <f>Info!B1</f>
        <v>UREDITEV RAFUTSKEGA PARKA Z LAŠČAKOVO VILO - Park</v>
      </c>
      <c r="B1" s="1356"/>
      <c r="C1" s="1356"/>
      <c r="D1" s="1356"/>
      <c r="E1" s="1356"/>
      <c r="F1" s="1357"/>
    </row>
    <row r="2" spans="1:43" ht="15.75" thickBot="1">
      <c r="A2" s="1358"/>
      <c r="B2" s="1359"/>
      <c r="C2" s="1359"/>
      <c r="D2" s="1359"/>
      <c r="E2" s="1359"/>
      <c r="F2" s="1360"/>
    </row>
    <row r="3" spans="1:43" ht="15.75" thickBot="1">
      <c r="A3" s="1361"/>
      <c r="B3" s="1362"/>
      <c r="C3" s="5"/>
      <c r="D3" s="572"/>
      <c r="E3" s="573"/>
      <c r="F3" s="574"/>
    </row>
    <row r="4" spans="1:43" ht="18" thickBot="1">
      <c r="A4" s="1363" t="s">
        <v>1604</v>
      </c>
      <c r="B4" s="1364"/>
      <c r="C4" s="1364"/>
      <c r="D4" s="1364"/>
      <c r="E4" s="1364"/>
      <c r="F4" s="1365"/>
    </row>
    <row r="5" spans="1:43" s="154" customFormat="1" ht="102" customHeight="1">
      <c r="A5" s="1370" t="s">
        <v>847</v>
      </c>
      <c r="B5" s="1370"/>
      <c r="C5" s="1370"/>
      <c r="D5" s="1370"/>
      <c r="E5" s="1370"/>
      <c r="F5" s="1370"/>
      <c r="H5" s="155"/>
      <c r="J5" s="160"/>
      <c r="K5" s="159"/>
      <c r="L5" s="153"/>
      <c r="M5" s="158"/>
      <c r="N5" s="157"/>
      <c r="O5" s="156"/>
      <c r="Q5" s="155"/>
    </row>
    <row r="6" spans="1:43" s="201" customFormat="1" ht="48" customHeight="1">
      <c r="A6" s="1371" t="s">
        <v>379</v>
      </c>
      <c r="B6" s="1371"/>
      <c r="C6" s="1371"/>
      <c r="D6" s="1371"/>
      <c r="E6" s="1371"/>
      <c r="F6" s="1371"/>
      <c r="H6" s="202"/>
      <c r="J6" s="200"/>
      <c r="K6" s="203"/>
      <c r="L6" s="204"/>
      <c r="M6" s="205"/>
      <c r="N6" s="206"/>
      <c r="O6" s="207"/>
      <c r="Q6" s="202"/>
    </row>
    <row r="7" spans="1:43" s="201" customFormat="1" ht="44.25" customHeight="1">
      <c r="A7" s="1372" t="s">
        <v>358</v>
      </c>
      <c r="B7" s="1372"/>
      <c r="C7" s="1372"/>
      <c r="D7" s="1372"/>
      <c r="E7" s="1372"/>
      <c r="F7" s="1372"/>
      <c r="H7" s="202"/>
      <c r="J7" s="200"/>
      <c r="K7" s="203"/>
      <c r="L7" s="204"/>
      <c r="M7" s="205"/>
      <c r="N7" s="206"/>
      <c r="O7" s="207"/>
      <c r="Q7" s="202"/>
    </row>
    <row r="8" spans="1:43">
      <c r="A8" s="577"/>
      <c r="B8" s="578"/>
      <c r="C8" s="579"/>
      <c r="D8" s="579"/>
      <c r="E8" s="580"/>
      <c r="F8" s="580"/>
    </row>
    <row r="9" spans="1:43" ht="85.5">
      <c r="A9" s="582" t="s">
        <v>1</v>
      </c>
      <c r="B9" s="583" t="s">
        <v>2</v>
      </c>
      <c r="C9" s="584" t="s">
        <v>4</v>
      </c>
      <c r="D9" s="585" t="s">
        <v>9</v>
      </c>
      <c r="E9" s="586" t="s">
        <v>5</v>
      </c>
      <c r="F9" s="588" t="s">
        <v>1613</v>
      </c>
    </row>
    <row r="10" spans="1:43" ht="15.75" thickBot="1">
      <c r="A10" s="589"/>
      <c r="B10" s="590"/>
      <c r="C10" s="591"/>
      <c r="D10" s="592"/>
      <c r="E10" s="593"/>
      <c r="F10" s="595"/>
    </row>
    <row r="11" spans="1:43" ht="18" thickBot="1">
      <c r="A11" s="596" t="s">
        <v>833</v>
      </c>
      <c r="B11" s="597" t="s">
        <v>1603</v>
      </c>
      <c r="C11" s="598"/>
      <c r="D11" s="599"/>
      <c r="E11" s="600"/>
      <c r="F11" s="601"/>
      <c r="I11" s="145"/>
    </row>
    <row r="12" spans="1:43">
      <c r="A12" s="27"/>
      <c r="B12" s="28"/>
      <c r="C12" s="29"/>
      <c r="D12" s="30"/>
      <c r="E12" s="31"/>
      <c r="F12" s="32"/>
    </row>
    <row r="13" spans="1:43">
      <c r="A13" s="33" t="s">
        <v>833</v>
      </c>
      <c r="B13" s="61" t="s">
        <v>1603</v>
      </c>
      <c r="C13" s="34"/>
      <c r="D13" s="35"/>
      <c r="E13" s="36"/>
      <c r="F13" s="37"/>
    </row>
    <row r="14" spans="1:43">
      <c r="A14" s="33"/>
      <c r="B14" s="61"/>
      <c r="C14" s="34"/>
      <c r="D14" s="35"/>
      <c r="E14" s="36"/>
      <c r="F14" s="37"/>
    </row>
    <row r="15" spans="1:43" s="4" customFormat="1" ht="14.25">
      <c r="A15" s="33"/>
      <c r="B15" s="61" t="s">
        <v>1605</v>
      </c>
      <c r="C15" s="34"/>
      <c r="D15" s="35"/>
      <c r="E15" s="36"/>
      <c r="F15" s="37"/>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row>
    <row r="16" spans="1:43" s="4" customFormat="1" ht="14.25">
      <c r="A16" s="33"/>
      <c r="B16" s="61"/>
      <c r="C16" s="34"/>
      <c r="D16" s="35"/>
      <c r="E16" s="36"/>
      <c r="F16" s="37"/>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row>
    <row r="17" spans="1:13" ht="114">
      <c r="A17" s="38"/>
      <c r="B17" s="208" t="s">
        <v>378</v>
      </c>
      <c r="C17" s="62"/>
      <c r="D17" s="63"/>
      <c r="E17" s="64"/>
      <c r="F17" s="41"/>
      <c r="H17" s="111"/>
      <c r="I17" s="111"/>
      <c r="J17" s="111"/>
      <c r="K17" s="111"/>
      <c r="L17" s="111"/>
      <c r="M17" s="111"/>
    </row>
    <row r="18" spans="1:13" ht="28.5">
      <c r="A18" s="38" t="s">
        <v>848</v>
      </c>
      <c r="B18" s="39" t="s">
        <v>377</v>
      </c>
      <c r="C18" s="62" t="s">
        <v>10</v>
      </c>
      <c r="D18" s="63">
        <v>126</v>
      </c>
      <c r="E18" s="679"/>
      <c r="F18" s="41">
        <f t="shared" ref="F18:F24" si="0">+D18*E18</f>
        <v>0</v>
      </c>
      <c r="H18" s="216"/>
      <c r="I18" s="217"/>
      <c r="J18" s="111"/>
      <c r="K18" s="111"/>
      <c r="L18" s="111"/>
      <c r="M18" s="111"/>
    </row>
    <row r="19" spans="1:13" ht="28.5">
      <c r="A19" s="38" t="s">
        <v>849</v>
      </c>
      <c r="B19" s="39" t="s">
        <v>376</v>
      </c>
      <c r="C19" s="62" t="s">
        <v>10</v>
      </c>
      <c r="D19" s="63">
        <v>40</v>
      </c>
      <c r="E19" s="679"/>
      <c r="F19" s="41">
        <f t="shared" si="0"/>
        <v>0</v>
      </c>
      <c r="H19" s="217"/>
      <c r="I19" s="217"/>
      <c r="J19" s="111"/>
      <c r="K19" s="111"/>
      <c r="L19" s="111"/>
      <c r="M19" s="111"/>
    </row>
    <row r="20" spans="1:13" ht="28.5">
      <c r="A20" s="38" t="s">
        <v>850</v>
      </c>
      <c r="B20" s="39" t="s">
        <v>375</v>
      </c>
      <c r="C20" s="62" t="s">
        <v>10</v>
      </c>
      <c r="D20" s="63">
        <v>35</v>
      </c>
      <c r="E20" s="679"/>
      <c r="F20" s="41">
        <f t="shared" si="0"/>
        <v>0</v>
      </c>
      <c r="H20" s="111"/>
      <c r="I20" s="217"/>
      <c r="J20" s="111"/>
      <c r="K20" s="111"/>
      <c r="L20" s="111"/>
      <c r="M20" s="111"/>
    </row>
    <row r="21" spans="1:13" ht="28.5">
      <c r="A21" s="38" t="s">
        <v>851</v>
      </c>
      <c r="B21" s="39" t="s">
        <v>374</v>
      </c>
      <c r="C21" s="62" t="s">
        <v>10</v>
      </c>
      <c r="D21" s="63">
        <v>80</v>
      </c>
      <c r="E21" s="679"/>
      <c r="F21" s="41">
        <f t="shared" si="0"/>
        <v>0</v>
      </c>
      <c r="H21" s="111"/>
      <c r="I21" s="111"/>
      <c r="J21" s="111"/>
      <c r="K21" s="111"/>
      <c r="L21" s="111"/>
      <c r="M21" s="111"/>
    </row>
    <row r="22" spans="1:13" ht="28.5">
      <c r="A22" s="38" t="s">
        <v>852</v>
      </c>
      <c r="B22" s="39" t="s">
        <v>373</v>
      </c>
      <c r="C22" s="62" t="s">
        <v>10</v>
      </c>
      <c r="D22" s="63">
        <v>45</v>
      </c>
      <c r="E22" s="679"/>
      <c r="F22" s="41">
        <f t="shared" si="0"/>
        <v>0</v>
      </c>
      <c r="H22" s="111"/>
      <c r="I22" s="111"/>
      <c r="J22" s="111"/>
      <c r="K22" s="111"/>
      <c r="L22" s="111"/>
      <c r="M22" s="111"/>
    </row>
    <row r="23" spans="1:13" ht="28.5">
      <c r="A23" s="38" t="s">
        <v>853</v>
      </c>
      <c r="B23" s="39" t="s">
        <v>372</v>
      </c>
      <c r="C23" s="62" t="s">
        <v>10</v>
      </c>
      <c r="D23" s="63">
        <v>40</v>
      </c>
      <c r="E23" s="679"/>
      <c r="F23" s="41">
        <f t="shared" si="0"/>
        <v>0</v>
      </c>
    </row>
    <row r="24" spans="1:13" ht="28.5">
      <c r="A24" s="38" t="s">
        <v>854</v>
      </c>
      <c r="B24" s="39" t="s">
        <v>371</v>
      </c>
      <c r="C24" s="62" t="s">
        <v>10</v>
      </c>
      <c r="D24" s="63">
        <v>25</v>
      </c>
      <c r="E24" s="679"/>
      <c r="F24" s="41">
        <f t="shared" si="0"/>
        <v>0</v>
      </c>
    </row>
    <row r="25" spans="1:13">
      <c r="A25" s="38"/>
      <c r="B25" s="39"/>
      <c r="C25" s="62"/>
      <c r="D25" s="63"/>
      <c r="E25" s="64"/>
      <c r="F25" s="41"/>
    </row>
    <row r="26" spans="1:13" ht="42.75">
      <c r="A26" s="59" t="s">
        <v>855</v>
      </c>
      <c r="B26" s="39" t="s">
        <v>370</v>
      </c>
      <c r="C26" s="62" t="s">
        <v>10</v>
      </c>
      <c r="D26" s="63">
        <v>28</v>
      </c>
      <c r="E26" s="679"/>
      <c r="F26" s="41">
        <f>+D26*E26</f>
        <v>0</v>
      </c>
    </row>
    <row r="27" spans="1:13">
      <c r="A27" s="38"/>
      <c r="B27" s="39"/>
      <c r="C27" s="62"/>
      <c r="D27" s="63"/>
      <c r="E27" s="64"/>
      <c r="F27" s="41"/>
    </row>
    <row r="28" spans="1:13" ht="75.75" customHeight="1">
      <c r="A28" s="38"/>
      <c r="B28" s="208" t="s">
        <v>369</v>
      </c>
      <c r="C28" s="62"/>
      <c r="D28" s="63"/>
      <c r="E28" s="64"/>
      <c r="F28" s="41"/>
    </row>
    <row r="29" spans="1:13" ht="28.5">
      <c r="A29" s="38" t="s">
        <v>856</v>
      </c>
      <c r="B29" s="39" t="s">
        <v>368</v>
      </c>
      <c r="C29" s="62" t="s">
        <v>72</v>
      </c>
      <c r="D29" s="63">
        <v>2</v>
      </c>
      <c r="E29" s="679"/>
      <c r="F29" s="41">
        <f>+D29*E29</f>
        <v>0</v>
      </c>
    </row>
    <row r="30" spans="1:13" ht="28.5">
      <c r="A30" s="38" t="s">
        <v>857</v>
      </c>
      <c r="B30" s="39" t="s">
        <v>367</v>
      </c>
      <c r="C30" s="62" t="s">
        <v>72</v>
      </c>
      <c r="D30" s="63">
        <v>1</v>
      </c>
      <c r="E30" s="679"/>
      <c r="F30" s="41">
        <f>+D30*E30</f>
        <v>0</v>
      </c>
    </row>
    <row r="31" spans="1:13" ht="28.5">
      <c r="A31" s="38" t="s">
        <v>858</v>
      </c>
      <c r="B31" s="39" t="s">
        <v>366</v>
      </c>
      <c r="C31" s="62" t="s">
        <v>72</v>
      </c>
      <c r="D31" s="63">
        <v>1</v>
      </c>
      <c r="E31" s="679"/>
      <c r="F31" s="41">
        <f>+D31*E31</f>
        <v>0</v>
      </c>
    </row>
    <row r="32" spans="1:13" ht="28.5">
      <c r="A32" s="38" t="s">
        <v>1101</v>
      </c>
      <c r="B32" s="39" t="s">
        <v>365</v>
      </c>
      <c r="C32" s="62" t="s">
        <v>72</v>
      </c>
      <c r="D32" s="63">
        <v>1</v>
      </c>
      <c r="E32" s="679"/>
      <c r="F32" s="41">
        <f>+D32*E32</f>
        <v>0</v>
      </c>
    </row>
    <row r="33" spans="1:6" ht="15.75" thickBot="1">
      <c r="A33" s="42"/>
      <c r="B33" s="43"/>
      <c r="C33" s="44"/>
      <c r="D33" s="45"/>
      <c r="E33" s="46"/>
      <c r="F33" s="47"/>
    </row>
    <row r="34" spans="1:6" ht="16.5" thickTop="1" thickBot="1">
      <c r="A34" s="48" t="s">
        <v>833</v>
      </c>
      <c r="B34" s="49" t="s">
        <v>1606</v>
      </c>
      <c r="C34" s="50"/>
      <c r="D34" s="51"/>
      <c r="E34" s="52"/>
      <c r="F34" s="53">
        <f>SUM(F17:F33)</f>
        <v>0</v>
      </c>
    </row>
    <row r="35" spans="1:6" ht="16.5" thickTop="1" thickBot="1">
      <c r="A35" s="38"/>
      <c r="B35" s="57"/>
      <c r="C35" s="77"/>
      <c r="D35" s="78"/>
      <c r="E35" s="79"/>
      <c r="F35" s="56"/>
    </row>
    <row r="36" spans="1:6" ht="18" thickBot="1">
      <c r="A36" s="75" t="s">
        <v>833</v>
      </c>
      <c r="B36" s="76" t="s">
        <v>1603</v>
      </c>
      <c r="C36" s="25"/>
      <c r="D36" s="60"/>
      <c r="E36" s="26"/>
      <c r="F36" s="80">
        <f>F34</f>
        <v>0</v>
      </c>
    </row>
  </sheetData>
  <sheetProtection algorithmName="SHA-512" hashValue="6tXaE7IQW15O7L7ez6F8qwAXgK7tUvnP/jJDiTsysocEIRcRk4plaRF6PLo41QZWEfwupV6VLhreJbpAwU8fWg==" saltValue="cegLBqWxTs5VXXroKLjIdg==" spinCount="100000" sheet="1" objects="1" scenarios="1" selectLockedCells="1"/>
  <customSheetViews>
    <customSheetView guid="{14FA32B8-8DA0-4B39-A6E2-254F8891DDCC}" scale="85" showPageBreaks="1" printArea="1" view="pageBreakPreview" topLeftCell="A6">
      <selection activeCell="H26" sqref="H26"/>
      <colBreaks count="1" manualBreakCount="1">
        <brk id="6" max="1048575" man="1"/>
      </colBreaks>
      <pageMargins left="0.7" right="0.7" top="0.75" bottom="0.75" header="0.3" footer="0.3"/>
      <pageSetup paperSize="9" scale="69" orientation="portrait" r:id="rId1"/>
      <headerFooter>
        <oddHeader>&amp;CUREDITEV RAFUTSKEGA PARKA Z LAŠČAKOVO VILO - Park&amp;RLUZ, d.d.</oddHeader>
        <oddFooter>&amp;C&amp;P</oddFooter>
      </headerFooter>
    </customSheetView>
  </customSheetViews>
  <mergeCells count="6">
    <mergeCell ref="A7:F7"/>
    <mergeCell ref="A1:F2"/>
    <mergeCell ref="A3:B3"/>
    <mergeCell ref="A4:F4"/>
    <mergeCell ref="A5:F5"/>
    <mergeCell ref="A6:F6"/>
  </mergeCells>
  <pageMargins left="0.7" right="0.7" top="0.75" bottom="0.75" header="0.3" footer="0.3"/>
  <pageSetup paperSize="9" scale="69" orientation="portrait" r:id="rId2"/>
  <headerFooter>
    <oddHeader>&amp;CUREDITEV RAFUTSKEGA PARKA Z LAŠČAKOVO VILO - Park&amp;RLUZ, d.d.</oddHeader>
    <oddFooter>&amp;C&amp;P</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23</vt:i4>
      </vt:variant>
      <vt:variant>
        <vt:lpstr>Imenovani obsegi</vt:lpstr>
      </vt:variant>
      <vt:variant>
        <vt:i4>22</vt:i4>
      </vt:variant>
    </vt:vector>
  </HeadingPairs>
  <TitlesOfParts>
    <vt:vector size="45" baseType="lpstr">
      <vt:lpstr>Rekapitulacija</vt:lpstr>
      <vt:lpstr>SPLOŠNE OPOMBE</vt:lpstr>
      <vt:lpstr>1 Pripravljalna dela in tuje st</vt:lpstr>
      <vt:lpstr>2 Tlaki</vt:lpstr>
      <vt:lpstr>3. Ureditve</vt:lpstr>
      <vt:lpstr>4. Oprema</vt:lpstr>
      <vt:lpstr>5. Restavratorska dela</vt:lpstr>
      <vt:lpstr>6.1 Vegetacija - Odstranitve</vt:lpstr>
      <vt:lpstr>6.2 Vegetacija - Vzdrževanje</vt:lpstr>
      <vt:lpstr>6.3 Vegetacija - Zasaditev</vt:lpstr>
      <vt:lpstr>Kanalizacija- S1</vt:lpstr>
      <vt:lpstr>Kanalizacija- S2</vt:lpstr>
      <vt:lpstr>Kanalizacija- S2.1</vt:lpstr>
      <vt:lpstr>Kanalizacija - S3</vt:lpstr>
      <vt:lpstr>Kanalizacija - S4</vt:lpstr>
      <vt:lpstr>Kanalizacija - S5</vt:lpstr>
      <vt:lpstr>Kanalizacija - M3</vt:lpstr>
      <vt:lpstr>Vodovod</vt:lpstr>
      <vt:lpstr>NN priključek</vt:lpstr>
      <vt:lpstr>ELEKTRO NN+ZR</vt:lpstr>
      <vt:lpstr>TK</vt:lpstr>
      <vt:lpstr>VIDEO</vt:lpstr>
      <vt:lpstr>Info</vt:lpstr>
      <vt:lpstr>'1 Pripravljalna dela in tuje st'!Področje_tiskanja</vt:lpstr>
      <vt:lpstr>'2 Tlaki'!Področje_tiskanja</vt:lpstr>
      <vt:lpstr>'3. Ureditve'!Področje_tiskanja</vt:lpstr>
      <vt:lpstr>'4. Oprema'!Področje_tiskanja</vt:lpstr>
      <vt:lpstr>'5. Restavratorska dela'!Področje_tiskanja</vt:lpstr>
      <vt:lpstr>'6.1 Vegetacija - Odstranitve'!Področje_tiskanja</vt:lpstr>
      <vt:lpstr>'6.2 Vegetacija - Vzdrževanje'!Področje_tiskanja</vt:lpstr>
      <vt:lpstr>'6.3 Vegetacija - Zasaditev'!Področje_tiskanja</vt:lpstr>
      <vt:lpstr>'ELEKTRO NN+ZR'!Področje_tiskanja</vt:lpstr>
      <vt:lpstr>Info!Področje_tiskanja</vt:lpstr>
      <vt:lpstr>'Kanalizacija - M3'!Področje_tiskanja</vt:lpstr>
      <vt:lpstr>'Kanalizacija - S3'!Področje_tiskanja</vt:lpstr>
      <vt:lpstr>'Kanalizacija - S4'!Področje_tiskanja</vt:lpstr>
      <vt:lpstr>'Kanalizacija - S5'!Področje_tiskanja</vt:lpstr>
      <vt:lpstr>'Kanalizacija- S1'!Področje_tiskanja</vt:lpstr>
      <vt:lpstr>'Kanalizacija- S2'!Področje_tiskanja</vt:lpstr>
      <vt:lpstr>'Kanalizacija- S2.1'!Področje_tiskanja</vt:lpstr>
      <vt:lpstr>Rekapitulacija!Področje_tiskanja</vt:lpstr>
      <vt:lpstr>'SPLOŠNE OPOMBE'!Področje_tiskanja</vt:lpstr>
      <vt:lpstr>TK!Področje_tiskanja</vt:lpstr>
      <vt:lpstr>VIDEO!Področje_tiskanja</vt:lpstr>
      <vt:lpstr>Vodovod!Področje_tiskanja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domen.dolsak@luz.si</dc:creator>
  <cp:lastModifiedBy>žgur</cp:lastModifiedBy>
  <cp:lastPrinted>2021-03-05T14:23:02Z</cp:lastPrinted>
  <dcterms:created xsi:type="dcterms:W3CDTF">2013-04-10T05:29:44Z</dcterms:created>
  <dcterms:modified xsi:type="dcterms:W3CDTF">2021-12-23T06:45:13Z</dcterms:modified>
</cp:coreProperties>
</file>