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446" windowWidth="6000" windowHeight="6120" tabRatio="881" activeTab="0"/>
  </bookViews>
  <sheets>
    <sheet name="PRIHODKI 2004" sheetId="1" r:id="rId1"/>
    <sheet name="ODHODKI 2004" sheetId="2" r:id="rId2"/>
    <sheet name="FINAN-TERJ" sheetId="3" r:id="rId3"/>
  </sheets>
  <definedNames>
    <definedName name="_xlnm.Print_Area" localSheetId="2">'FINAN-TERJ'!$A$1:$E$37</definedName>
    <definedName name="_xlnm.Print_Area" localSheetId="1">'ODHODKI 2004'!$I$1:$U$80,'ODHODKI 2004'!$A$2:$C$80</definedName>
    <definedName name="_xlnm.Print_Area" localSheetId="0">'PRIHODKI 2004'!$A$1:$H$86</definedName>
    <definedName name="_xlnm.Print_Titles" localSheetId="1">'ODHODKI 2004'!$A:$C,'ODHODKI 2004'!$1:$2</definedName>
    <definedName name="_xlnm.Print_Titles" localSheetId="0">'PRIHODKI 2004'!$6:$6</definedName>
  </definedNames>
  <calcPr fullCalcOnLoad="1"/>
</workbook>
</file>

<file path=xl/sharedStrings.xml><?xml version="1.0" encoding="utf-8"?>
<sst xmlns="http://schemas.openxmlformats.org/spreadsheetml/2006/main" count="366" uniqueCount="312">
  <si>
    <t>PLAČE IN DRUGI IZDATKI ZAPOSLENIM</t>
  </si>
  <si>
    <t>Plače in dodatki</t>
  </si>
  <si>
    <t>Regres za letni dopust</t>
  </si>
  <si>
    <t>Povračila in nadomestila</t>
  </si>
  <si>
    <t>Sredstva za delovno uspešnost</t>
  </si>
  <si>
    <t>Plače za delo po pogodbi</t>
  </si>
  <si>
    <t>Drugi izdatki zaposlenim</t>
  </si>
  <si>
    <t>IZDATKI ZA BLAGO IN STORITVE</t>
  </si>
  <si>
    <t>Pisarniški in splošni material in storitve</t>
  </si>
  <si>
    <t>Posebni material in storitve</t>
  </si>
  <si>
    <t>Prevozni stroški in storitve</t>
  </si>
  <si>
    <t>Izdatki za službena potovanja</t>
  </si>
  <si>
    <t>Tekoče vzdrževanje</t>
  </si>
  <si>
    <t>Najemnine in zakupnine</t>
  </si>
  <si>
    <t>Drugi operativni odhodki</t>
  </si>
  <si>
    <t>TEKOČI ODHODKI</t>
  </si>
  <si>
    <t>NAKUP IN GRADNJA OSNOVNIH SREDSTEV</t>
  </si>
  <si>
    <t>Nakup zgradb in prostorov</t>
  </si>
  <si>
    <t>Nakup opreme</t>
  </si>
  <si>
    <t>Investicijsko vzdrževanje in obnove</t>
  </si>
  <si>
    <t>TEKOČI TRANSFERI</t>
  </si>
  <si>
    <t>INVESTICIJSKI TRANSFERI</t>
  </si>
  <si>
    <t>Prispevek za zaposlovanje</t>
  </si>
  <si>
    <t>SUBVENCIJE</t>
  </si>
  <si>
    <t>Subvencije javnim podjetjem</t>
  </si>
  <si>
    <t>Subvencije privatnim podjetjem in zasebnikom</t>
  </si>
  <si>
    <t>Drugi transferi posameznikom</t>
  </si>
  <si>
    <t>DRUGI TEKOČI DOMAČI TRANSFERI</t>
  </si>
  <si>
    <t>Nakup drugih osnovnih sredstev</t>
  </si>
  <si>
    <t>Novogradnje, rekonstrukcije in adaptacije</t>
  </si>
  <si>
    <t>Nakup zemljišč in naravnih bogastev</t>
  </si>
  <si>
    <t xml:space="preserve">   - transport (mestni, primestni promet…)</t>
  </si>
  <si>
    <t xml:space="preserve">   - komunalna dejavnost</t>
  </si>
  <si>
    <t xml:space="preserve">   - kmetijstvo</t>
  </si>
  <si>
    <t xml:space="preserve">   - ostala podjetja in zasebniki</t>
  </si>
  <si>
    <t xml:space="preserve"> </t>
  </si>
  <si>
    <t xml:space="preserve">    INVESTICIJSKI ODHODKI</t>
  </si>
  <si>
    <t>SKUPAJ ODHODKI</t>
  </si>
  <si>
    <t>MESTNA UPRAVA</t>
  </si>
  <si>
    <t>OTROŠ.VARST.</t>
  </si>
  <si>
    <t>KULTURA</t>
  </si>
  <si>
    <t>ZDRAVST.</t>
  </si>
  <si>
    <t>INFRASTRUKT.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</si>
  <si>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</si>
  <si>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</si>
  <si>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</si>
  <si>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</si>
  <si>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</si>
  <si>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</si>
  <si>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</si>
  <si>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</si>
  <si>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</si>
  <si>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</si>
  <si>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</si>
  <si>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</si>
  <si>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</si>
  <si>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</si>
  <si>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</si>
  <si>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</si>
  <si>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</si>
  <si>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</si>
  <si>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</si>
  <si>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</si>
  <si>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</si>
  <si>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</si>
  <si>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</si>
  <si>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</si>
  <si>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</si>
  <si>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</si>
  <si>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</si>
  <si>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</si>
  <si>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</si>
  <si>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</si>
  <si>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</si>
  <si>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</si>
  <si>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</si>
  <si>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</si>
  <si>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</si>
  <si>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</si>
  <si>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</si>
  <si>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</si>
  <si>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</si>
  <si>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</si>
  <si>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</si>
  <si>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</si>
  <si>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KONTO</t>
  </si>
  <si>
    <t>DAVČNI PRIHODKI</t>
  </si>
  <si>
    <t>DAVKI NA DOHODEK IN DOBIČEK</t>
  </si>
  <si>
    <t>Dohodnina - skupaj</t>
  </si>
  <si>
    <t>DAVKI NA PREMOŽENJE</t>
  </si>
  <si>
    <t>Davki na nepremičnine</t>
  </si>
  <si>
    <t>2.1.</t>
  </si>
  <si>
    <t>2.2.</t>
  </si>
  <si>
    <t>Davki na dediščine in darila</t>
  </si>
  <si>
    <t>DOMAČI DAVKI NA BLAGO IN STORITVE</t>
  </si>
  <si>
    <t>Davki na posebne storitve</t>
  </si>
  <si>
    <t>5.1.</t>
  </si>
  <si>
    <t>Davek na dobitke od iger na srečo</t>
  </si>
  <si>
    <t>5.2.</t>
  </si>
  <si>
    <t>Posebna taksa na igralne avtomate</t>
  </si>
  <si>
    <t>Pristojbine za motorna vozila</t>
  </si>
  <si>
    <t>6.1.</t>
  </si>
  <si>
    <t>Taksa za registracijo kmetijskih traktorjev</t>
  </si>
  <si>
    <t>7.1.</t>
  </si>
  <si>
    <t>7.2.</t>
  </si>
  <si>
    <t>7.3.</t>
  </si>
  <si>
    <t>Pristojbine za vzdrževanje gozdnih cest</t>
  </si>
  <si>
    <t>7.4.</t>
  </si>
  <si>
    <t>7.5.</t>
  </si>
  <si>
    <t>Požarna taksa</t>
  </si>
  <si>
    <t>NEDAVČNI PRIHODKI</t>
  </si>
  <si>
    <t>Prihodki od obresti - skupaj</t>
  </si>
  <si>
    <t>Prihodki od premoženja</t>
  </si>
  <si>
    <t>Prihodki od najemnin za stanovanja</t>
  </si>
  <si>
    <t>Prihodki od koncesij</t>
  </si>
  <si>
    <t>TAKSE IN PRISTOJBINE</t>
  </si>
  <si>
    <t>Upravne takse</t>
  </si>
  <si>
    <t>DENARNE KAZNI</t>
  </si>
  <si>
    <t>Denarne kazni</t>
  </si>
  <si>
    <t>Druge povprečnine - redarji</t>
  </si>
  <si>
    <t>DRUGI NEDAVČNI PRIHODKI</t>
  </si>
  <si>
    <t>Drugi nedavčni prihodki</t>
  </si>
  <si>
    <t>KAPITALSKI PRIHODKI</t>
  </si>
  <si>
    <t>Prihodki od prodaje zgradb in prostorov</t>
  </si>
  <si>
    <t>Prihodki od prodaje stavbnih zemljišč</t>
  </si>
  <si>
    <t>TRANSFERNI PRIHODKI</t>
  </si>
  <si>
    <t>Prejeta sredstva iz državnega proračuna</t>
  </si>
  <si>
    <t>SKUPAJ PRIHODKI</t>
  </si>
  <si>
    <t>v SIT</t>
  </si>
  <si>
    <t>a)</t>
  </si>
  <si>
    <t>b)</t>
  </si>
  <si>
    <t>42.</t>
  </si>
  <si>
    <t xml:space="preserve">A. BILANCA   PRIHODKOV IN ODHODKOV </t>
  </si>
  <si>
    <t>PREJETE DONACIJE</t>
  </si>
  <si>
    <t>Prejete donacije iz domačih virov</t>
  </si>
  <si>
    <t>PLAČILA DOMAČIH OBRESTI</t>
  </si>
  <si>
    <t>Plačila obresti od kreditov</t>
  </si>
  <si>
    <t>Nakup nematerialnega premoženja</t>
  </si>
  <si>
    <t>Nakup prevoznih sredstev</t>
  </si>
  <si>
    <t>IV.PREJETA VRAČILA DANIH POSOJIL IN PRODAJA KAPITALSKIH DELEŽEV</t>
  </si>
  <si>
    <t xml:space="preserve">PREJETA VRAČILA DANIH POSOJIL </t>
  </si>
  <si>
    <t>POVEČANJE KAPITALSKIH DELEŽEV</t>
  </si>
  <si>
    <t>VI. PREJETA MINUS DANA POSOJILA (IV.-V.)</t>
  </si>
  <si>
    <t xml:space="preserve">       C. RAČUN FINANCIRANJA</t>
  </si>
  <si>
    <t>VII. ZADOLŽEVANJE</t>
  </si>
  <si>
    <t>VIII. ODPLAČILO DOLGA</t>
  </si>
  <si>
    <t>IX. NETO ZADOLŽEVANJE</t>
  </si>
  <si>
    <t>XII. REZULTAT (X.+XI.)</t>
  </si>
  <si>
    <t>44.</t>
  </si>
  <si>
    <t>45.</t>
  </si>
  <si>
    <t>46.</t>
  </si>
  <si>
    <t xml:space="preserve">    </t>
  </si>
  <si>
    <t xml:space="preserve">            I. BILANCA PRIHODKOV</t>
  </si>
  <si>
    <t>Proračunska rezerva</t>
  </si>
  <si>
    <t>47.</t>
  </si>
  <si>
    <t xml:space="preserve">    CIVIL.Z AŠ., GASIL.</t>
  </si>
  <si>
    <t>OKOLJE IN PROS.</t>
  </si>
  <si>
    <t>GOSPODARST.</t>
  </si>
  <si>
    <t>IZOBRAŽEV.</t>
  </si>
  <si>
    <t>ŠPORT.DEJ.</t>
  </si>
  <si>
    <t>SOCIAL.VAR.</t>
  </si>
  <si>
    <t>SPLOŠNI DEL …</t>
  </si>
  <si>
    <t>MLADIN. CENT.</t>
  </si>
  <si>
    <t>BILANCA ODHODKOV PO PODROČJIH UPOŠTEVAJE EKONOMSKO KLASIFIKACIJO ODHODKOV</t>
  </si>
  <si>
    <t>Štipendije</t>
  </si>
  <si>
    <t>DANA POSOJILA</t>
  </si>
  <si>
    <t>Dana posojila javnim podjetjem</t>
  </si>
  <si>
    <t>Povečanje kapitalskih deležev v javnih podjetjih</t>
  </si>
  <si>
    <t>Povečanje kapitalskih deležev v privatnih podjetjih</t>
  </si>
  <si>
    <t>kontrola</t>
  </si>
  <si>
    <t>Investic. transferi javnim podjetjem</t>
  </si>
  <si>
    <t>Investic. transferi posameznikom</t>
  </si>
  <si>
    <t>KUPNINE IZ NASLOVA PRIVATIZACIJE</t>
  </si>
  <si>
    <t>Kazni in odškodnine</t>
  </si>
  <si>
    <t xml:space="preserve">      II. BILANCA ODHODKOV </t>
  </si>
  <si>
    <t>PRIH. OD PRODAJE BLAGA IN STORITEV</t>
  </si>
  <si>
    <t>Drugi davki na uporabo blaga in storitev</t>
  </si>
  <si>
    <t xml:space="preserve">7.6. </t>
  </si>
  <si>
    <t>Z.št.</t>
  </si>
  <si>
    <t>PRIHODKI OD PRODAJE OSN. SREDSTEV</t>
  </si>
  <si>
    <t>III. PRORAČ. PRESEŽEK - PRIMANJ.                  (I.-II.)</t>
  </si>
  <si>
    <t xml:space="preserve">  B. RAČUN FINANČNIH TERJATEV IN NALOŽB</t>
  </si>
  <si>
    <t>48.</t>
  </si>
  <si>
    <t>49.</t>
  </si>
  <si>
    <t>50.</t>
  </si>
  <si>
    <t>Davek na izplačane plače</t>
  </si>
  <si>
    <t>12.1.</t>
  </si>
  <si>
    <t>12.2.</t>
  </si>
  <si>
    <t>14.1.</t>
  </si>
  <si>
    <t>14.2.</t>
  </si>
  <si>
    <t>17.1.</t>
  </si>
  <si>
    <t>17.2.</t>
  </si>
  <si>
    <t>Povečanje drugih finančnih naložb</t>
  </si>
  <si>
    <t>Prihodki za Mladinski center</t>
  </si>
  <si>
    <t>15.1.</t>
  </si>
  <si>
    <t>15.2.</t>
  </si>
  <si>
    <t>Prihodki od prodaje blaga in storitev</t>
  </si>
  <si>
    <t>PRIHODKI OD PRODAJE ZEMLJIŠČ</t>
  </si>
  <si>
    <t>Komunalne takse za taksam zavezane predmete</t>
  </si>
  <si>
    <t>Prihodki od koncesijskih dajatev od iger na srečo</t>
  </si>
  <si>
    <t>Nadomestilo za degradacijo in uzurpacijo prostora</t>
  </si>
  <si>
    <t>Prihodki od prodaje blaga in storitev - lastni prihodki</t>
  </si>
  <si>
    <t>Min. za kmetijstvo, gozdarstvo - gozdne ceste</t>
  </si>
  <si>
    <t>Prihodki od najemnin za poslovne prostore in zemljišča</t>
  </si>
  <si>
    <t>Prihodki od prodaje blaga in storitev-za Mladinski center</t>
  </si>
  <si>
    <t>Splošna proračunska rezervacija</t>
  </si>
  <si>
    <t>Prejeta sredstva iz proračunov lokalnih skupnosti</t>
  </si>
  <si>
    <t>Prisp. za pokojnsko in invalidsko zavarovanje</t>
  </si>
  <si>
    <t>Energija, voda, komunalne storitve in komunik.</t>
  </si>
  <si>
    <t>PRISP. DELOD. ZA SOCIALNO VARNOST</t>
  </si>
  <si>
    <t>TRANSFERI POSAMEZNIK. IN GOSPODINJ.</t>
  </si>
  <si>
    <t>TRANS. NEPROFIT.ORG. IN USTANOVAM</t>
  </si>
  <si>
    <t>Tekoči transferi neprofitnim org.in ustanovam</t>
  </si>
  <si>
    <t>Tekoči transferi v sklade social. zavarovanja</t>
  </si>
  <si>
    <t xml:space="preserve">   - sred.za plače in druge izdatke zaposlenim</t>
  </si>
  <si>
    <t xml:space="preserve">   - sredstva za prispevke delodajalcev</t>
  </si>
  <si>
    <t xml:space="preserve">   - sredstva za izdatke za blago in storitve</t>
  </si>
  <si>
    <t>Investic. transferi neprofitnim organizacijam</t>
  </si>
  <si>
    <t>Sredstva kupnin iz naslova privatizacije</t>
  </si>
  <si>
    <t>V. DANA POSOJILA IN POVEČANJE KAPITALSKIH DELEŽ.</t>
  </si>
  <si>
    <t>X. POVEČ. - ZMANJŠ. SREDSTEV NA RAČUNIH      (III.+VI.+IX.)</t>
  </si>
  <si>
    <t>XI. STANJE SRED. NA RAČUNIH IZ PRETEKLEGA  LETA</t>
  </si>
  <si>
    <t>Taksa za obremenjevanje vode</t>
  </si>
  <si>
    <t>Prihodki od prodaje kmetijskih zemljišč</t>
  </si>
  <si>
    <t>Prihodki od prodaje prevoznih sredstev</t>
  </si>
  <si>
    <t>Prih. od prodaje stavbnih zemljišč - za obv. Solkan</t>
  </si>
  <si>
    <t xml:space="preserve">7.7. </t>
  </si>
  <si>
    <t>Taksa za obremenjevanje okolja</t>
  </si>
  <si>
    <t>Dana posojila privatni podjetjem in zasebnikom</t>
  </si>
  <si>
    <t>Prih. od prodaje stavbnih zemljišč - sodišče NG</t>
  </si>
  <si>
    <t>19.1.</t>
  </si>
  <si>
    <t>19.3.</t>
  </si>
  <si>
    <t>19.4.</t>
  </si>
  <si>
    <t>20.1.</t>
  </si>
  <si>
    <t>Davek od premoženja in zam. obr. od davka na prem.</t>
  </si>
  <si>
    <t>Nadomestilo za uporabo stavb.zemljišča in zamud. obr.</t>
  </si>
  <si>
    <t>Davki na promet nepremičnin in na fin. premož.</t>
  </si>
  <si>
    <t>UDELEŽ. NA DOBIČKU IN DOH. OD PREMOŽENJA</t>
  </si>
  <si>
    <r>
      <t>Prih.udeležbe na dobičku podj.</t>
    </r>
    <r>
      <rPr>
        <sz val="10"/>
        <rFont val="Arial CE"/>
        <family val="2"/>
      </rPr>
      <t>-Hit, Komunala, Cestno p.</t>
    </r>
  </si>
  <si>
    <t>Prihodki od komunal.prisp.-za komun.urejanje zemljišč</t>
  </si>
  <si>
    <t>Prihodki od prodaje stanovanj. objektov in stanovanj</t>
  </si>
  <si>
    <t>TRANSFER. PRIHODKI IZ DR. JAVNOFIN.INSTIT.</t>
  </si>
  <si>
    <t>Odškodnina za sprem.namen.kmet.zemljišč in gozda</t>
  </si>
  <si>
    <t>Sredstva za nadurno delo</t>
  </si>
  <si>
    <t>Prispevek za zdravstveno zavarovanje</t>
  </si>
  <si>
    <t>Prispevek za starševsko varstvo</t>
  </si>
  <si>
    <t>Plačila obresti od kreditov poslovnim bankam</t>
  </si>
  <si>
    <t>REZERVE</t>
  </si>
  <si>
    <t>Študije o izvedljiv. projektov, projektna dokum.</t>
  </si>
  <si>
    <t>Prihodki od prodaje stavb in poslovnih prostorov</t>
  </si>
  <si>
    <t>PRODAJA KAPITALSKIH DELEŽEV</t>
  </si>
  <si>
    <t>Prejeta vračila od javnih podjetij - KENOG</t>
  </si>
  <si>
    <t>Povračila funkcionalnih stroškov</t>
  </si>
  <si>
    <t>Ministrstvo za šolstvo in šport - sofin.prev.ogrož.otrok</t>
  </si>
  <si>
    <t>Min. za kmetijstvo, gozdarstvo (CRPOV - Šempas,…)</t>
  </si>
  <si>
    <t>Sofin. občin za ureditev reg.sistema ravnanja z odp.</t>
  </si>
  <si>
    <t>Donacije za tekočo porabo - za nakup igral</t>
  </si>
  <si>
    <t>Drugi prihodki: sofin. javnih del, zapušč.,stečaji,PZZ…</t>
  </si>
  <si>
    <t>POVEČANJE NAMEN.PREMOŽ. V JAVNE SKLADE</t>
  </si>
  <si>
    <t>Povečanje namenskega premoženja v javne sklade</t>
  </si>
  <si>
    <t>Povečanje nam.premoženja v  javne sklade</t>
  </si>
  <si>
    <t>a) Stanovanjski sklad MONG</t>
  </si>
  <si>
    <t>b) Javni sklad za malo gospodarstvo Goriške</t>
  </si>
  <si>
    <t xml:space="preserve">   Javni sklad malega gospodarstva Goriške</t>
  </si>
  <si>
    <t xml:space="preserve">                                  MESTNE OBČINE NOVA GORICA ZA  LETO 2004</t>
  </si>
  <si>
    <t>Min. za kmetijstvo, gozdarstvo (CRPOV - Tabor)</t>
  </si>
  <si>
    <t>Vračilo iz strukturnih skladov (gosp.proj.)</t>
  </si>
  <si>
    <t>Prihodki za nadomestne zgradbe za obv. Solkan</t>
  </si>
  <si>
    <t>MOP - transfer za kan.in čistilno napravo Prvačina</t>
  </si>
  <si>
    <t>19.2.</t>
  </si>
  <si>
    <t>10.1.</t>
  </si>
  <si>
    <t>10.2.</t>
  </si>
  <si>
    <t>10.3.</t>
  </si>
  <si>
    <t>10.4.</t>
  </si>
  <si>
    <t>13.1.</t>
  </si>
  <si>
    <t>13.2.</t>
  </si>
  <si>
    <t>14.5.</t>
  </si>
  <si>
    <t>14.6.</t>
  </si>
  <si>
    <t>15.3.</t>
  </si>
  <si>
    <t>17.3.</t>
  </si>
  <si>
    <t>17.4.</t>
  </si>
  <si>
    <t>18.1.</t>
  </si>
  <si>
    <t>19.5.</t>
  </si>
  <si>
    <t>19.6.</t>
  </si>
  <si>
    <t>19.7.</t>
  </si>
  <si>
    <t>Prenesena sredstva iz preteklega leta (ocena)</t>
  </si>
  <si>
    <t>Urad za informiranje-vstop v EU</t>
  </si>
  <si>
    <t>Prejeta vračila danih posojil od privatnih podjetij</t>
  </si>
  <si>
    <t>Tekoči transferi občinam</t>
  </si>
  <si>
    <t>Investicijski transferi občinam</t>
  </si>
  <si>
    <t>Premije kolektivnega dod.zavarovanja</t>
  </si>
  <si>
    <t>Prejeta vračila od posameznikov in zasebnikov</t>
  </si>
  <si>
    <t>REBALANS 1 2004</t>
  </si>
  <si>
    <t>REBALANS 2 2004</t>
  </si>
  <si>
    <t>REALIZACIJA 15.9.2004</t>
  </si>
  <si>
    <t>REB.2/REB. 1</t>
  </si>
  <si>
    <t>REAL./REB.1</t>
  </si>
  <si>
    <t xml:space="preserve">Tek. transferi v javne sklade </t>
  </si>
  <si>
    <t>Tekoči transferi v javne zavode</t>
  </si>
  <si>
    <t>Investic. transferi javnim skladom in agencijam</t>
  </si>
  <si>
    <t>Investic. transferi privatnim podjetjem</t>
  </si>
  <si>
    <t>Investic. transferi javnim zavodom</t>
  </si>
  <si>
    <t>51.</t>
  </si>
  <si>
    <t>52.</t>
  </si>
  <si>
    <t>Inv. transfer posameznikom in zasebnikom</t>
  </si>
  <si>
    <t xml:space="preserve">     SS MONG, JSMGG, SS RS, SOD, JSKD</t>
  </si>
  <si>
    <t>Turistična taksa</t>
  </si>
  <si>
    <t xml:space="preserve">   Stanovanjski sklad MONG</t>
  </si>
  <si>
    <t xml:space="preserve">                                                             REBALANS </t>
  </si>
  <si>
    <t>18.2.</t>
  </si>
  <si>
    <t>Sred. pridobljena s prodajo drugih kapitalskih deležev</t>
  </si>
  <si>
    <t>Donacije za tekočo por.-pomoč pri izvedbi preventivne akcije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</si>
</sst>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"/>
    <numFmt numFmtId="165" formatCode="#,##0.0"/>
    <numFmt numFmtId="166" formatCode="#,##0.0000"/>
    <numFmt numFmtId="167" formatCode="_-* #,##0.0\ _S_I_T_-;\-* #,##0.0\ _S_I_T_-;_-* &quot;-&quot;??\ _S_I_T_-;_-@_-"/>
    <numFmt numFmtId="168" formatCode="_-* #,##0\ _S_I_T_-;\-* #,##0\ _S_I_T_-;_-* &quot;-&quot;??\ _S_I_T_-;_-@_-"/>
    <numFmt numFmtId="169" formatCode="#,##0_ ;\-#,##0\ "/>
    <numFmt numFmtId="170" formatCode="0.000"/>
    <numFmt numFmtId="171" formatCode="0.0"/>
    <numFmt numFmtId="172" formatCode="0.0000"/>
  </numFmts>
  <fonts count="1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7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5" xfId="0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left" vertical="center"/>
    </xf>
    <xf numFmtId="3" fontId="4" fillId="0" borderId="7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6" fillId="0" borderId="9" xfId="0" applyFont="1" applyBorder="1" applyAlignment="1">
      <alignment vertical="center"/>
    </xf>
    <xf numFmtId="3" fontId="3" fillId="0" borderId="9" xfId="0" applyNumberFormat="1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2" xfId="0" applyFont="1" applyBorder="1" applyAlignment="1">
      <alignment/>
    </xf>
    <xf numFmtId="0" fontId="12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4" xfId="0" applyFont="1" applyBorder="1" applyAlignment="1">
      <alignment horizontal="center" vertical="justify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8" xfId="0" applyFont="1" applyBorder="1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7" fillId="0" borderId="11" xfId="0" applyNumberFormat="1" applyFont="1" applyBorder="1" applyAlignment="1">
      <alignment horizontal="center" vertical="center" textRotation="61"/>
    </xf>
    <xf numFmtId="3" fontId="7" fillId="0" borderId="12" xfId="0" applyNumberFormat="1" applyFont="1" applyBorder="1" applyAlignment="1">
      <alignment horizontal="center" vertical="center" textRotation="61"/>
    </xf>
    <xf numFmtId="0" fontId="7" fillId="0" borderId="12" xfId="0" applyFont="1" applyBorder="1" applyAlignment="1">
      <alignment horizontal="center" vertical="center" textRotation="61"/>
    </xf>
    <xf numFmtId="3" fontId="13" fillId="0" borderId="0" xfId="0" applyNumberFormat="1" applyFont="1" applyAlignment="1">
      <alignment horizontal="centerContinuous" vertical="justify"/>
    </xf>
    <xf numFmtId="0" fontId="2" fillId="0" borderId="0" xfId="0" applyFont="1" applyBorder="1" applyAlignment="1">
      <alignment horizontal="centerContinuous"/>
    </xf>
    <xf numFmtId="3" fontId="2" fillId="0" borderId="0" xfId="0" applyNumberFormat="1" applyFont="1" applyAlignment="1">
      <alignment horizontal="centerContinuous" vertical="justify"/>
    </xf>
    <xf numFmtId="0" fontId="6" fillId="0" borderId="9" xfId="0" applyFont="1" applyBorder="1" applyAlignment="1">
      <alignment vertical="justify"/>
    </xf>
    <xf numFmtId="171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 vertical="justify" wrapText="1"/>
    </xf>
    <xf numFmtId="0" fontId="3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3" fillId="0" borderId="2" xfId="0" applyFont="1" applyBorder="1" applyAlignment="1" quotePrefix="1">
      <alignment horizontal="left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14" fillId="0" borderId="2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16" fontId="0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 applyAlignment="1">
      <alignment/>
    </xf>
    <xf numFmtId="3" fontId="4" fillId="0" borderId="13" xfId="0" applyNumberFormat="1" applyFont="1" applyBorder="1" applyAlignment="1">
      <alignment/>
    </xf>
    <xf numFmtId="0" fontId="4" fillId="0" borderId="6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71" fontId="3" fillId="0" borderId="2" xfId="0" applyNumberFormat="1" applyFont="1" applyBorder="1" applyAlignment="1">
      <alignment horizontal="right"/>
    </xf>
    <xf numFmtId="171" fontId="4" fillId="0" borderId="7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3" fontId="13" fillId="0" borderId="8" xfId="0" applyNumberFormat="1" applyFont="1" applyBorder="1" applyAlignment="1">
      <alignment horizontal="center" vertical="justify" wrapText="1"/>
    </xf>
    <xf numFmtId="0" fontId="0" fillId="0" borderId="8" xfId="0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5" customHeight="1"/>
  <cols>
    <col min="1" max="1" width="6.125" style="12" bestFit="1" customWidth="1"/>
    <col min="2" max="2" width="6.00390625" style="17" hidden="1" customWidth="1"/>
    <col min="3" max="3" width="50.25390625" style="1" customWidth="1"/>
    <col min="4" max="5" width="14.375" style="1" customWidth="1"/>
    <col min="6" max="6" width="14.875" style="1" customWidth="1"/>
    <col min="7" max="7" width="9.875" style="1" customWidth="1"/>
    <col min="8" max="16384" width="9.125" style="1" customWidth="1"/>
  </cols>
  <sheetData>
    <row r="1" spans="1:6" s="93" customFormat="1" ht="17.25" customHeight="1">
      <c r="A1" s="33" t="s">
        <v>151</v>
      </c>
      <c r="B1" s="92"/>
      <c r="C1" s="33" t="s">
        <v>308</v>
      </c>
      <c r="D1" s="114"/>
      <c r="E1" s="114"/>
      <c r="F1" s="114"/>
    </row>
    <row r="2" spans="1:3" s="93" customFormat="1" ht="17.25" customHeight="1">
      <c r="A2" s="33"/>
      <c r="B2" s="92"/>
      <c r="C2" s="94" t="s">
        <v>264</v>
      </c>
    </row>
    <row r="3" spans="1:3" ht="15" customHeight="1">
      <c r="A3" s="16"/>
      <c r="C3" s="17"/>
    </row>
    <row r="4" spans="1:3" ht="15" customHeight="1">
      <c r="A4" s="16"/>
      <c r="C4" s="34" t="s">
        <v>132</v>
      </c>
    </row>
    <row r="5" spans="4:7" ht="15" customHeight="1" thickBot="1">
      <c r="D5" s="97" t="s">
        <v>128</v>
      </c>
      <c r="E5" s="97" t="s">
        <v>128</v>
      </c>
      <c r="F5" s="97" t="s">
        <v>128</v>
      </c>
      <c r="G5" s="97"/>
    </row>
    <row r="6" spans="1:8" ht="42.75" customHeight="1" thickBot="1">
      <c r="A6" s="95" t="s">
        <v>178</v>
      </c>
      <c r="B6" s="98" t="s">
        <v>85</v>
      </c>
      <c r="C6" s="15" t="s">
        <v>152</v>
      </c>
      <c r="D6" s="106" t="s">
        <v>292</v>
      </c>
      <c r="E6" s="106" t="s">
        <v>294</v>
      </c>
      <c r="F6" s="106" t="s">
        <v>293</v>
      </c>
      <c r="G6" s="111" t="s">
        <v>295</v>
      </c>
      <c r="H6" s="111" t="s">
        <v>296</v>
      </c>
    </row>
    <row r="7" spans="1:8" s="20" customFormat="1" ht="21" customHeight="1">
      <c r="A7" s="99"/>
      <c r="B7" s="18">
        <v>70</v>
      </c>
      <c r="C7" s="8" t="s">
        <v>86</v>
      </c>
      <c r="D7" s="19">
        <f>SUM(D8,D10,D16,)</f>
        <v>4737000000</v>
      </c>
      <c r="E7" s="19">
        <f>SUM(E8,E10,E16,)</f>
        <v>2731131816</v>
      </c>
      <c r="F7" s="19">
        <f>SUM(F8,F10,F16,)</f>
        <v>4585000000</v>
      </c>
      <c r="G7" s="79">
        <f>IF(D7=0,"-",$F7/D7*100)</f>
        <v>96.79121807050876</v>
      </c>
      <c r="H7" s="79">
        <f>IF(D7=0,"-",$E7/D7*100)</f>
        <v>57.6553053831539</v>
      </c>
    </row>
    <row r="8" spans="1:8" s="5" customFormat="1" ht="21" customHeight="1">
      <c r="A8" s="99"/>
      <c r="B8" s="21">
        <v>700</v>
      </c>
      <c r="C8" s="23" t="s">
        <v>87</v>
      </c>
      <c r="D8" s="19">
        <f>SUM(D9)</f>
        <v>3304000000</v>
      </c>
      <c r="E8" s="19">
        <f>SUM(E9)</f>
        <v>2093230609</v>
      </c>
      <c r="F8" s="19">
        <f>SUM(F9)</f>
        <v>3304000000</v>
      </c>
      <c r="G8" s="79">
        <f aca="true" t="shared" si="0" ref="G8:G66">IF(D8=0,"-",$F8/D8*100)</f>
        <v>100</v>
      </c>
      <c r="H8" s="79">
        <f aca="true" t="shared" si="1" ref="H8:H68">IF(D8=0,"-",$E8/D8*100)</f>
        <v>63.354437318401935</v>
      </c>
    </row>
    <row r="9" spans="1:8" s="20" customFormat="1" ht="15" customHeight="1">
      <c r="A9" s="99" t="s">
        <v>43</v>
      </c>
      <c r="B9" s="18">
        <v>7000</v>
      </c>
      <c r="C9" s="11" t="s">
        <v>88</v>
      </c>
      <c r="D9" s="22">
        <v>3304000000</v>
      </c>
      <c r="E9" s="22">
        <v>2093230609</v>
      </c>
      <c r="F9" s="22">
        <v>3304000000</v>
      </c>
      <c r="G9" s="115">
        <f t="shared" si="0"/>
        <v>100</v>
      </c>
      <c r="H9" s="115">
        <f t="shared" si="1"/>
        <v>63.354437318401935</v>
      </c>
    </row>
    <row r="10" spans="1:8" s="5" customFormat="1" ht="21" customHeight="1">
      <c r="A10" s="99"/>
      <c r="B10" s="21">
        <v>703</v>
      </c>
      <c r="C10" s="23" t="s">
        <v>89</v>
      </c>
      <c r="D10" s="19">
        <f>SUM(D11,D14,D15)</f>
        <v>985000000</v>
      </c>
      <c r="E10" s="19">
        <f>SUM(E11,E14,E15)</f>
        <v>551597328</v>
      </c>
      <c r="F10" s="19">
        <f>SUM(F11,F14,F15)</f>
        <v>842000000</v>
      </c>
      <c r="G10" s="79">
        <f t="shared" si="0"/>
        <v>85.48223350253808</v>
      </c>
      <c r="H10" s="79">
        <f t="shared" si="1"/>
        <v>55.99972873096447</v>
      </c>
    </row>
    <row r="11" spans="1:8" s="20" customFormat="1" ht="15" customHeight="1">
      <c r="A11" s="99" t="s">
        <v>44</v>
      </c>
      <c r="B11" s="18">
        <v>7030</v>
      </c>
      <c r="C11" s="23" t="s">
        <v>90</v>
      </c>
      <c r="D11" s="19">
        <f>SUM(D12:D13)</f>
        <v>861000000</v>
      </c>
      <c r="E11" s="19">
        <f>SUM(E12:E13)</f>
        <v>459799740</v>
      </c>
      <c r="F11" s="19">
        <f>SUM(F12:F13)</f>
        <v>713000000</v>
      </c>
      <c r="G11" s="79">
        <f t="shared" si="0"/>
        <v>82.81068524970964</v>
      </c>
      <c r="H11" s="79">
        <f t="shared" si="1"/>
        <v>53.402989547038324</v>
      </c>
    </row>
    <row r="12" spans="1:8" s="5" customFormat="1" ht="15" customHeight="1">
      <c r="A12" s="100" t="s">
        <v>91</v>
      </c>
      <c r="B12" s="21"/>
      <c r="C12" s="11" t="s">
        <v>234</v>
      </c>
      <c r="D12" s="22">
        <v>11000000</v>
      </c>
      <c r="E12" s="22">
        <v>9810354</v>
      </c>
      <c r="F12" s="22">
        <f>11000000+2000000</f>
        <v>13000000</v>
      </c>
      <c r="G12" s="115">
        <f t="shared" si="0"/>
        <v>118.18181818181819</v>
      </c>
      <c r="H12" s="115">
        <f t="shared" si="1"/>
        <v>89.18503636363636</v>
      </c>
    </row>
    <row r="13" spans="1:8" s="5" customFormat="1" ht="15" customHeight="1">
      <c r="A13" s="99" t="s">
        <v>92</v>
      </c>
      <c r="B13" s="21"/>
      <c r="C13" s="11" t="s">
        <v>235</v>
      </c>
      <c r="D13" s="22">
        <f>850000000</f>
        <v>850000000</v>
      </c>
      <c r="E13" s="22">
        <v>449989386</v>
      </c>
      <c r="F13" s="22">
        <f>850000000-150000000</f>
        <v>700000000</v>
      </c>
      <c r="G13" s="115">
        <f t="shared" si="0"/>
        <v>82.35294117647058</v>
      </c>
      <c r="H13" s="115">
        <f t="shared" si="1"/>
        <v>52.939927764705885</v>
      </c>
    </row>
    <row r="14" spans="1:8" s="20" customFormat="1" ht="15" customHeight="1">
      <c r="A14" s="99" t="s">
        <v>45</v>
      </c>
      <c r="B14" s="18">
        <v>7032</v>
      </c>
      <c r="C14" s="23" t="s">
        <v>93</v>
      </c>
      <c r="D14" s="19">
        <v>18000000</v>
      </c>
      <c r="E14" s="19">
        <v>19651348</v>
      </c>
      <c r="F14" s="19">
        <f>18000000+5000000</f>
        <v>23000000</v>
      </c>
      <c r="G14" s="79">
        <f t="shared" si="0"/>
        <v>127.77777777777777</v>
      </c>
      <c r="H14" s="79">
        <f t="shared" si="1"/>
        <v>109.17415555555556</v>
      </c>
    </row>
    <row r="15" spans="1:8" s="20" customFormat="1" ht="15" customHeight="1">
      <c r="A15" s="99" t="s">
        <v>46</v>
      </c>
      <c r="B15" s="18">
        <v>7033</v>
      </c>
      <c r="C15" s="23" t="s">
        <v>236</v>
      </c>
      <c r="D15" s="19">
        <f>70000000+24000000-10000000+2000000+20000000</f>
        <v>106000000</v>
      </c>
      <c r="E15" s="19">
        <v>72146240</v>
      </c>
      <c r="F15" s="19">
        <v>106000000</v>
      </c>
      <c r="G15" s="79">
        <f t="shared" si="0"/>
        <v>100</v>
      </c>
      <c r="H15" s="79">
        <f t="shared" si="1"/>
        <v>68.06249056603774</v>
      </c>
    </row>
    <row r="16" spans="1:8" s="5" customFormat="1" ht="21" customHeight="1">
      <c r="A16" s="99"/>
      <c r="B16" s="21">
        <v>704</v>
      </c>
      <c r="C16" s="23" t="s">
        <v>94</v>
      </c>
      <c r="D16" s="19">
        <f>SUM(D17,D20,D22)</f>
        <v>448000000</v>
      </c>
      <c r="E16" s="19">
        <f>SUM(E17,E20,E22)</f>
        <v>86303879</v>
      </c>
      <c r="F16" s="19">
        <f>SUM(F17,F20,F22)</f>
        <v>439000000</v>
      </c>
      <c r="G16" s="79">
        <f t="shared" si="0"/>
        <v>97.99107142857143</v>
      </c>
      <c r="H16" s="79">
        <f t="shared" si="1"/>
        <v>19.264258705357143</v>
      </c>
    </row>
    <row r="17" spans="1:8" s="20" customFormat="1" ht="15" customHeight="1">
      <c r="A17" s="99" t="s">
        <v>47</v>
      </c>
      <c r="B17" s="18">
        <v>7044</v>
      </c>
      <c r="C17" s="23" t="s">
        <v>95</v>
      </c>
      <c r="D17" s="19">
        <f>SUM(D18:D19)</f>
        <v>25000000</v>
      </c>
      <c r="E17" s="19">
        <f>SUM(E18:E19)</f>
        <v>11572127</v>
      </c>
      <c r="F17" s="19">
        <f>SUM(F18:F19)</f>
        <v>21000000</v>
      </c>
      <c r="G17" s="79">
        <f t="shared" si="0"/>
        <v>84</v>
      </c>
      <c r="H17" s="79">
        <f t="shared" si="1"/>
        <v>46.288508</v>
      </c>
    </row>
    <row r="18" spans="1:8" s="5" customFormat="1" ht="15" customHeight="1">
      <c r="A18" s="99" t="s">
        <v>96</v>
      </c>
      <c r="B18" s="21"/>
      <c r="C18" s="11" t="s">
        <v>97</v>
      </c>
      <c r="D18" s="22">
        <v>10000000</v>
      </c>
      <c r="E18" s="22">
        <v>2567127</v>
      </c>
      <c r="F18" s="22">
        <f>10000000-4000000</f>
        <v>6000000</v>
      </c>
      <c r="G18" s="115">
        <f t="shared" si="0"/>
        <v>60</v>
      </c>
      <c r="H18" s="115">
        <f t="shared" si="1"/>
        <v>25.67127</v>
      </c>
    </row>
    <row r="19" spans="1:8" s="5" customFormat="1" ht="15" customHeight="1">
      <c r="A19" s="99" t="s">
        <v>98</v>
      </c>
      <c r="B19" s="21"/>
      <c r="C19" s="11" t="s">
        <v>99</v>
      </c>
      <c r="D19" s="22">
        <f>50000000-35000000</f>
        <v>15000000</v>
      </c>
      <c r="E19" s="22">
        <v>9005000</v>
      </c>
      <c r="F19" s="22">
        <v>15000000</v>
      </c>
      <c r="G19" s="115">
        <f t="shared" si="0"/>
        <v>100</v>
      </c>
      <c r="H19" s="115">
        <f t="shared" si="1"/>
        <v>60.03333333333334</v>
      </c>
    </row>
    <row r="20" spans="1:8" s="20" customFormat="1" ht="15" customHeight="1">
      <c r="A20" s="99" t="s">
        <v>48</v>
      </c>
      <c r="B20" s="18">
        <v>7046</v>
      </c>
      <c r="C20" s="23" t="s">
        <v>100</v>
      </c>
      <c r="D20" s="19">
        <f>+D21</f>
        <v>0</v>
      </c>
      <c r="E20" s="19">
        <f>+E21</f>
        <v>0</v>
      </c>
      <c r="F20" s="19">
        <f>+F21</f>
        <v>0</v>
      </c>
      <c r="G20" s="79" t="str">
        <f t="shared" si="0"/>
        <v>-</v>
      </c>
      <c r="H20" s="79" t="str">
        <f t="shared" si="1"/>
        <v>-</v>
      </c>
    </row>
    <row r="21" spans="1:8" s="5" customFormat="1" ht="15" customHeight="1">
      <c r="A21" s="99" t="s">
        <v>101</v>
      </c>
      <c r="B21" s="21"/>
      <c r="C21" s="11" t="s">
        <v>102</v>
      </c>
      <c r="D21" s="22"/>
      <c r="E21" s="22"/>
      <c r="F21" s="22"/>
      <c r="G21" s="79" t="str">
        <f t="shared" si="0"/>
        <v>-</v>
      </c>
      <c r="H21" s="79" t="str">
        <f t="shared" si="1"/>
        <v>-</v>
      </c>
    </row>
    <row r="22" spans="1:8" s="20" customFormat="1" ht="15" customHeight="1">
      <c r="A22" s="99" t="s">
        <v>49</v>
      </c>
      <c r="B22" s="18">
        <v>7047</v>
      </c>
      <c r="C22" s="23" t="s">
        <v>176</v>
      </c>
      <c r="D22" s="19">
        <f>SUM(D23:D29)</f>
        <v>423000000</v>
      </c>
      <c r="E22" s="19">
        <f>SUM(E23:E29)</f>
        <v>74731752</v>
      </c>
      <c r="F22" s="19">
        <f>SUM(F23:F29)</f>
        <v>418000000</v>
      </c>
      <c r="G22" s="79">
        <f t="shared" si="0"/>
        <v>98.81796690307328</v>
      </c>
      <c r="H22" s="79">
        <f t="shared" si="1"/>
        <v>17.66708085106383</v>
      </c>
    </row>
    <row r="23" spans="1:8" s="5" customFormat="1" ht="15" customHeight="1">
      <c r="A23" s="99" t="s">
        <v>103</v>
      </c>
      <c r="B23" s="21"/>
      <c r="C23" s="11" t="s">
        <v>306</v>
      </c>
      <c r="D23" s="22">
        <v>13000000</v>
      </c>
      <c r="E23" s="22">
        <v>10148460</v>
      </c>
      <c r="F23" s="22">
        <v>13000000</v>
      </c>
      <c r="G23" s="115">
        <f t="shared" si="0"/>
        <v>100</v>
      </c>
      <c r="H23" s="115">
        <f t="shared" si="1"/>
        <v>78.06507692307693</v>
      </c>
    </row>
    <row r="24" spans="1:8" s="5" customFormat="1" ht="15" customHeight="1">
      <c r="A24" s="99" t="s">
        <v>104</v>
      </c>
      <c r="B24" s="21"/>
      <c r="C24" s="11" t="s">
        <v>198</v>
      </c>
      <c r="D24" s="22">
        <v>20000000</v>
      </c>
      <c r="E24" s="22">
        <v>7568638</v>
      </c>
      <c r="F24" s="22">
        <f>20000000-5000000</f>
        <v>15000000</v>
      </c>
      <c r="G24" s="115">
        <f t="shared" si="0"/>
        <v>75</v>
      </c>
      <c r="H24" s="115">
        <f t="shared" si="1"/>
        <v>37.84319</v>
      </c>
    </row>
    <row r="25" spans="1:8" s="5" customFormat="1" ht="15" customHeight="1">
      <c r="A25" s="99" t="s">
        <v>105</v>
      </c>
      <c r="B25" s="21"/>
      <c r="C25" s="11" t="s">
        <v>106</v>
      </c>
      <c r="D25" s="22">
        <v>9000000</v>
      </c>
      <c r="E25" s="22">
        <v>5746467</v>
      </c>
      <c r="F25" s="22">
        <v>9000000</v>
      </c>
      <c r="G25" s="115">
        <f t="shared" si="0"/>
        <v>100</v>
      </c>
      <c r="H25" s="115">
        <f t="shared" si="1"/>
        <v>63.84963333333333</v>
      </c>
    </row>
    <row r="26" spans="1:8" s="5" customFormat="1" ht="15" customHeight="1">
      <c r="A26" s="99" t="s">
        <v>107</v>
      </c>
      <c r="B26" s="21"/>
      <c r="C26" s="11" t="s">
        <v>242</v>
      </c>
      <c r="D26" s="22"/>
      <c r="E26" s="22"/>
      <c r="F26" s="22"/>
      <c r="G26" s="115" t="str">
        <f t="shared" si="0"/>
        <v>-</v>
      </c>
      <c r="H26" s="115" t="str">
        <f t="shared" si="1"/>
        <v>-</v>
      </c>
    </row>
    <row r="27" spans="1:8" s="5" customFormat="1" ht="15" customHeight="1">
      <c r="A27" s="99" t="s">
        <v>108</v>
      </c>
      <c r="B27" s="21"/>
      <c r="C27" s="11" t="s">
        <v>109</v>
      </c>
      <c r="D27" s="22">
        <v>25000000</v>
      </c>
      <c r="E27" s="22">
        <v>21448405</v>
      </c>
      <c r="F27" s="22">
        <v>25000000</v>
      </c>
      <c r="G27" s="115">
        <f t="shared" si="0"/>
        <v>100</v>
      </c>
      <c r="H27" s="115">
        <f t="shared" si="1"/>
        <v>85.79362</v>
      </c>
    </row>
    <row r="28" spans="1:8" s="5" customFormat="1" ht="15" customHeight="1">
      <c r="A28" s="99" t="s">
        <v>177</v>
      </c>
      <c r="B28" s="21"/>
      <c r="C28" s="11" t="s">
        <v>222</v>
      </c>
      <c r="D28" s="22">
        <v>270000000</v>
      </c>
      <c r="E28" s="22"/>
      <c r="F28" s="22">
        <v>270000000</v>
      </c>
      <c r="G28" s="115">
        <f t="shared" si="0"/>
        <v>100</v>
      </c>
      <c r="H28" s="115">
        <f t="shared" si="1"/>
        <v>0</v>
      </c>
    </row>
    <row r="29" spans="1:8" s="5" customFormat="1" ht="15" customHeight="1">
      <c r="A29" s="99" t="s">
        <v>226</v>
      </c>
      <c r="B29" s="21"/>
      <c r="C29" s="11" t="s">
        <v>227</v>
      </c>
      <c r="D29" s="22">
        <f>73000000+13000000</f>
        <v>86000000</v>
      </c>
      <c r="E29" s="22">
        <v>29819782</v>
      </c>
      <c r="F29" s="22">
        <v>86000000</v>
      </c>
      <c r="G29" s="115">
        <f t="shared" si="0"/>
        <v>100</v>
      </c>
      <c r="H29" s="115">
        <f t="shared" si="1"/>
        <v>34.67416511627907</v>
      </c>
    </row>
    <row r="30" spans="1:8" s="5" customFormat="1" ht="15" customHeight="1">
      <c r="A30" s="99"/>
      <c r="B30" s="21"/>
      <c r="C30" s="11"/>
      <c r="D30" s="22"/>
      <c r="E30" s="22"/>
      <c r="F30" s="22"/>
      <c r="G30" s="79"/>
      <c r="H30" s="79"/>
    </row>
    <row r="31" spans="1:8" s="20" customFormat="1" ht="21" customHeight="1">
      <c r="A31" s="99"/>
      <c r="B31" s="18">
        <v>71</v>
      </c>
      <c r="C31" s="8" t="s">
        <v>110</v>
      </c>
      <c r="D31" s="19">
        <f>SUM(D32,D40,D43,D47,D51)</f>
        <v>1900300000</v>
      </c>
      <c r="E31" s="19">
        <f>SUM(E32,E40,E43,E47,E51)</f>
        <v>1373385893</v>
      </c>
      <c r="F31" s="19">
        <f>SUM(F32,F40,F43,F47,F51)</f>
        <v>1940800000</v>
      </c>
      <c r="G31" s="79">
        <f t="shared" si="0"/>
        <v>102.13124243540494</v>
      </c>
      <c r="H31" s="79">
        <f t="shared" si="1"/>
        <v>72.2720566752618</v>
      </c>
    </row>
    <row r="32" spans="1:8" s="5" customFormat="1" ht="21" customHeight="1">
      <c r="A32" s="99"/>
      <c r="B32" s="21">
        <v>710</v>
      </c>
      <c r="C32" s="23" t="s">
        <v>237</v>
      </c>
      <c r="D32" s="19">
        <f>SUM(D33:D35)</f>
        <v>1685000000</v>
      </c>
      <c r="E32" s="19">
        <f>SUM(E33:E35)</f>
        <v>1227071534</v>
      </c>
      <c r="F32" s="19">
        <f>SUM(F33:F35)</f>
        <v>1665000000</v>
      </c>
      <c r="G32" s="79">
        <f t="shared" si="0"/>
        <v>98.81305637982196</v>
      </c>
      <c r="H32" s="79">
        <f t="shared" si="1"/>
        <v>72.82323643916914</v>
      </c>
    </row>
    <row r="33" spans="1:8" s="20" customFormat="1" ht="15" customHeight="1">
      <c r="A33" s="99" t="s">
        <v>50</v>
      </c>
      <c r="B33" s="18">
        <v>7101</v>
      </c>
      <c r="C33" s="67" t="s">
        <v>238</v>
      </c>
      <c r="D33" s="19">
        <v>60000000</v>
      </c>
      <c r="E33" s="19">
        <v>13208630</v>
      </c>
      <c r="F33" s="19">
        <f>60000000-15000000</f>
        <v>45000000</v>
      </c>
      <c r="G33" s="79">
        <f t="shared" si="0"/>
        <v>75</v>
      </c>
      <c r="H33" s="79">
        <f t="shared" si="1"/>
        <v>22.014383333333335</v>
      </c>
    </row>
    <row r="34" spans="1:8" s="20" customFormat="1" ht="15" customHeight="1">
      <c r="A34" s="99" t="s">
        <v>51</v>
      </c>
      <c r="B34" s="18">
        <v>7102</v>
      </c>
      <c r="C34" s="23" t="s">
        <v>111</v>
      </c>
      <c r="D34" s="19">
        <f>22200000+2800000</f>
        <v>25000000</v>
      </c>
      <c r="E34" s="19">
        <v>17071677</v>
      </c>
      <c r="F34" s="19">
        <v>25000000</v>
      </c>
      <c r="G34" s="79">
        <f t="shared" si="0"/>
        <v>100</v>
      </c>
      <c r="H34" s="79">
        <f t="shared" si="1"/>
        <v>68.28670799999999</v>
      </c>
    </row>
    <row r="35" spans="1:8" s="20" customFormat="1" ht="15" customHeight="1">
      <c r="A35" s="99" t="s">
        <v>52</v>
      </c>
      <c r="B35" s="18">
        <v>7103</v>
      </c>
      <c r="C35" s="23" t="s">
        <v>112</v>
      </c>
      <c r="D35" s="19">
        <f>SUM(D36:D39)</f>
        <v>1600000000</v>
      </c>
      <c r="E35" s="19">
        <f>SUM(E36:E39)</f>
        <v>1196791227</v>
      </c>
      <c r="F35" s="19">
        <f>SUM(F36:F39)</f>
        <v>1595000000</v>
      </c>
      <c r="G35" s="79">
        <f t="shared" si="0"/>
        <v>99.6875</v>
      </c>
      <c r="H35" s="79">
        <f t="shared" si="1"/>
        <v>74.7994516875</v>
      </c>
    </row>
    <row r="36" spans="1:8" s="5" customFormat="1" ht="15" customHeight="1">
      <c r="A36" s="99" t="s">
        <v>270</v>
      </c>
      <c r="B36" s="21"/>
      <c r="C36" s="11" t="s">
        <v>203</v>
      </c>
      <c r="D36" s="22">
        <v>98000000</v>
      </c>
      <c r="E36" s="22">
        <v>70439513</v>
      </c>
      <c r="F36" s="22">
        <v>98000000</v>
      </c>
      <c r="G36" s="115">
        <f t="shared" si="0"/>
        <v>100</v>
      </c>
      <c r="H36" s="115">
        <f t="shared" si="1"/>
        <v>71.87705408163265</v>
      </c>
    </row>
    <row r="37" spans="1:8" s="5" customFormat="1" ht="15" customHeight="1">
      <c r="A37" s="99" t="s">
        <v>271</v>
      </c>
      <c r="B37" s="21"/>
      <c r="C37" s="11" t="s">
        <v>113</v>
      </c>
      <c r="D37" s="22">
        <v>0</v>
      </c>
      <c r="E37" s="22">
        <v>0</v>
      </c>
      <c r="F37" s="22">
        <v>0</v>
      </c>
      <c r="G37" s="115" t="str">
        <f t="shared" si="0"/>
        <v>-</v>
      </c>
      <c r="H37" s="115" t="str">
        <f t="shared" si="1"/>
        <v>-</v>
      </c>
    </row>
    <row r="38" spans="1:8" s="5" customFormat="1" ht="15" customHeight="1">
      <c r="A38" s="99" t="s">
        <v>272</v>
      </c>
      <c r="B38" s="21"/>
      <c r="C38" s="11" t="s">
        <v>199</v>
      </c>
      <c r="D38" s="22">
        <f>1400000000+77000000</f>
        <v>1477000000</v>
      </c>
      <c r="E38" s="22">
        <v>1119367581</v>
      </c>
      <c r="F38" s="22">
        <v>1477000000</v>
      </c>
      <c r="G38" s="115">
        <f t="shared" si="0"/>
        <v>100</v>
      </c>
      <c r="H38" s="115">
        <f t="shared" si="1"/>
        <v>75.78656607989167</v>
      </c>
    </row>
    <row r="39" spans="1:8" s="5" customFormat="1" ht="15" customHeight="1">
      <c r="A39" s="99" t="s">
        <v>273</v>
      </c>
      <c r="B39" s="21"/>
      <c r="C39" s="11" t="s">
        <v>114</v>
      </c>
      <c r="D39" s="22">
        <v>25000000</v>
      </c>
      <c r="E39" s="22">
        <v>6984133</v>
      </c>
      <c r="F39" s="22">
        <f>25000000-5000000</f>
        <v>20000000</v>
      </c>
      <c r="G39" s="115">
        <f t="shared" si="0"/>
        <v>80</v>
      </c>
      <c r="H39" s="115">
        <f t="shared" si="1"/>
        <v>27.936531999999996</v>
      </c>
    </row>
    <row r="40" spans="1:8" s="5" customFormat="1" ht="21" customHeight="1">
      <c r="A40" s="99"/>
      <c r="B40" s="21">
        <v>711</v>
      </c>
      <c r="C40" s="23" t="s">
        <v>115</v>
      </c>
      <c r="D40" s="19">
        <f>SUM(D41)</f>
        <v>27000000</v>
      </c>
      <c r="E40" s="19">
        <f>SUM(E41)</f>
        <v>11987853</v>
      </c>
      <c r="F40" s="19">
        <f>SUM(F41)</f>
        <v>20000000</v>
      </c>
      <c r="G40" s="79">
        <f t="shared" si="0"/>
        <v>74.07407407407408</v>
      </c>
      <c r="H40" s="79">
        <f t="shared" si="1"/>
        <v>44.399455555555555</v>
      </c>
    </row>
    <row r="41" spans="1:8" s="20" customFormat="1" ht="15" customHeight="1">
      <c r="A41" s="99" t="s">
        <v>53</v>
      </c>
      <c r="B41" s="18">
        <v>7111</v>
      </c>
      <c r="C41" s="23" t="s">
        <v>116</v>
      </c>
      <c r="D41" s="19">
        <v>27000000</v>
      </c>
      <c r="E41" s="19">
        <v>11987853</v>
      </c>
      <c r="F41" s="19">
        <f>27000000-3000000-4000000</f>
        <v>20000000</v>
      </c>
      <c r="G41" s="79">
        <f t="shared" si="0"/>
        <v>74.07407407407408</v>
      </c>
      <c r="H41" s="79">
        <f t="shared" si="1"/>
        <v>44.399455555555555</v>
      </c>
    </row>
    <row r="42" spans="1:8" s="20" customFormat="1" ht="15" customHeight="1">
      <c r="A42" s="99"/>
      <c r="B42" s="18"/>
      <c r="C42" s="23"/>
      <c r="D42" s="19"/>
      <c r="E42" s="19"/>
      <c r="F42" s="19"/>
      <c r="G42" s="79"/>
      <c r="H42" s="79"/>
    </row>
    <row r="43" spans="1:8" s="5" customFormat="1" ht="21" customHeight="1">
      <c r="A43" s="99"/>
      <c r="B43" s="21">
        <v>712</v>
      </c>
      <c r="C43" s="23" t="s">
        <v>117</v>
      </c>
      <c r="D43" s="19">
        <f>SUM(D44)</f>
        <v>6300000</v>
      </c>
      <c r="E43" s="19">
        <f>SUM(E44)</f>
        <v>5692998</v>
      </c>
      <c r="F43" s="19">
        <f>SUM(F44)</f>
        <v>7800000</v>
      </c>
      <c r="G43" s="79">
        <f t="shared" si="0"/>
        <v>123.80952380952381</v>
      </c>
      <c r="H43" s="79">
        <f t="shared" si="1"/>
        <v>90.36504761904763</v>
      </c>
    </row>
    <row r="44" spans="1:8" s="20" customFormat="1" ht="15" customHeight="1">
      <c r="A44" s="99" t="s">
        <v>54</v>
      </c>
      <c r="B44" s="18">
        <v>7120</v>
      </c>
      <c r="C44" s="23" t="s">
        <v>118</v>
      </c>
      <c r="D44" s="19">
        <f>SUM(D45:D46)</f>
        <v>6300000</v>
      </c>
      <c r="E44" s="19">
        <f>SUM(E45:E46)</f>
        <v>5692998</v>
      </c>
      <c r="F44" s="19">
        <f>SUM(F45:F46)</f>
        <v>7800000</v>
      </c>
      <c r="G44" s="79">
        <f t="shared" si="0"/>
        <v>123.80952380952381</v>
      </c>
      <c r="H44" s="79">
        <f t="shared" si="1"/>
        <v>90.36504761904763</v>
      </c>
    </row>
    <row r="45" spans="1:8" s="5" customFormat="1" ht="15" customHeight="1">
      <c r="A45" s="99" t="s">
        <v>186</v>
      </c>
      <c r="B45" s="21"/>
      <c r="C45" s="11" t="s">
        <v>200</v>
      </c>
      <c r="D45" s="22">
        <f>800000+300000</f>
        <v>1100000</v>
      </c>
      <c r="E45" s="22">
        <v>1802078</v>
      </c>
      <c r="F45" s="22">
        <f>1100000+1500000</f>
        <v>2600000</v>
      </c>
      <c r="G45" s="115">
        <f t="shared" si="0"/>
        <v>236.36363636363637</v>
      </c>
      <c r="H45" s="115">
        <f t="shared" si="1"/>
        <v>163.82527272727273</v>
      </c>
    </row>
    <row r="46" spans="1:8" s="5" customFormat="1" ht="15" customHeight="1">
      <c r="A46" s="99" t="s">
        <v>187</v>
      </c>
      <c r="B46" s="21"/>
      <c r="C46" s="11" t="s">
        <v>119</v>
      </c>
      <c r="D46" s="22">
        <f>4300000+900000</f>
        <v>5200000</v>
      </c>
      <c r="E46" s="22">
        <v>3890920</v>
      </c>
      <c r="F46" s="22">
        <v>5200000</v>
      </c>
      <c r="G46" s="115">
        <f t="shared" si="0"/>
        <v>100</v>
      </c>
      <c r="H46" s="115">
        <f t="shared" si="1"/>
        <v>74.82538461538462</v>
      </c>
    </row>
    <row r="47" spans="1:8" s="5" customFormat="1" ht="21" customHeight="1">
      <c r="A47" s="99"/>
      <c r="B47" s="21">
        <v>713</v>
      </c>
      <c r="C47" s="23" t="s">
        <v>175</v>
      </c>
      <c r="D47" s="19">
        <f>SUM(D48)</f>
        <v>2000000</v>
      </c>
      <c r="E47" s="19">
        <f>SUM(E48)</f>
        <v>2567169</v>
      </c>
      <c r="F47" s="19">
        <f>SUM(F48)</f>
        <v>3000000</v>
      </c>
      <c r="G47" s="79">
        <f t="shared" si="0"/>
        <v>150</v>
      </c>
      <c r="H47" s="79">
        <f t="shared" si="1"/>
        <v>128.35845</v>
      </c>
    </row>
    <row r="48" spans="1:8" s="20" customFormat="1" ht="15" customHeight="1">
      <c r="A48" s="99" t="s">
        <v>55</v>
      </c>
      <c r="B48" s="18">
        <v>7130</v>
      </c>
      <c r="C48" s="23" t="s">
        <v>196</v>
      </c>
      <c r="D48" s="19">
        <f>SUM(D49:D50)</f>
        <v>2000000</v>
      </c>
      <c r="E48" s="19">
        <f>SUM(E49:E50)</f>
        <v>2567169</v>
      </c>
      <c r="F48" s="19">
        <f>SUM(F49:F50)</f>
        <v>3000000</v>
      </c>
      <c r="G48" s="79">
        <f t="shared" si="0"/>
        <v>150</v>
      </c>
      <c r="H48" s="79">
        <f t="shared" si="1"/>
        <v>128.35845</v>
      </c>
    </row>
    <row r="49" spans="1:8" s="5" customFormat="1" ht="15" customHeight="1">
      <c r="A49" s="99" t="s">
        <v>274</v>
      </c>
      <c r="B49" s="21"/>
      <c r="C49" s="11" t="s">
        <v>201</v>
      </c>
      <c r="D49" s="22">
        <f>1000000+500000</f>
        <v>1500000</v>
      </c>
      <c r="E49" s="22">
        <v>2124969</v>
      </c>
      <c r="F49" s="22">
        <f>1500000+1000000</f>
        <v>2500000</v>
      </c>
      <c r="G49" s="115">
        <f t="shared" si="0"/>
        <v>166.66666666666669</v>
      </c>
      <c r="H49" s="115">
        <f t="shared" si="1"/>
        <v>141.6646</v>
      </c>
    </row>
    <row r="50" spans="1:8" s="5" customFormat="1" ht="15" customHeight="1">
      <c r="A50" s="99" t="s">
        <v>275</v>
      </c>
      <c r="B50" s="21"/>
      <c r="C50" s="11" t="s">
        <v>204</v>
      </c>
      <c r="D50" s="22">
        <v>500000</v>
      </c>
      <c r="E50" s="22">
        <v>442200</v>
      </c>
      <c r="F50" s="22">
        <v>500000</v>
      </c>
      <c r="G50" s="115">
        <f t="shared" si="0"/>
        <v>100</v>
      </c>
      <c r="H50" s="115">
        <f t="shared" si="1"/>
        <v>88.44</v>
      </c>
    </row>
    <row r="51" spans="1:8" s="5" customFormat="1" ht="21" customHeight="1">
      <c r="A51" s="99"/>
      <c r="B51" s="21">
        <v>714</v>
      </c>
      <c r="C51" s="23" t="s">
        <v>120</v>
      </c>
      <c r="D51" s="19">
        <f>SUM(D52:D52)</f>
        <v>180000000</v>
      </c>
      <c r="E51" s="19">
        <f>SUM(E52:E52)</f>
        <v>126066339</v>
      </c>
      <c r="F51" s="19">
        <f>SUM(F52:F52)</f>
        <v>245000000</v>
      </c>
      <c r="G51" s="79">
        <f t="shared" si="0"/>
        <v>136.11111111111111</v>
      </c>
      <c r="H51" s="79">
        <f t="shared" si="1"/>
        <v>70.036855</v>
      </c>
    </row>
    <row r="52" spans="1:8" s="20" customFormat="1" ht="15" customHeight="1">
      <c r="A52" s="99" t="s">
        <v>56</v>
      </c>
      <c r="B52" s="18">
        <v>7141</v>
      </c>
      <c r="C52" s="23" t="s">
        <v>121</v>
      </c>
      <c r="D52" s="19">
        <f>SUM(D53:D56)</f>
        <v>180000000</v>
      </c>
      <c r="E52" s="19">
        <f>SUM(E53:E56)</f>
        <v>126066339</v>
      </c>
      <c r="F52" s="19">
        <f>SUM(F53:F56)</f>
        <v>245000000</v>
      </c>
      <c r="G52" s="79">
        <f t="shared" si="0"/>
        <v>136.11111111111111</v>
      </c>
      <c r="H52" s="79">
        <f t="shared" si="1"/>
        <v>70.036855</v>
      </c>
    </row>
    <row r="53" spans="1:8" s="5" customFormat="1" ht="15" customHeight="1">
      <c r="A53" s="99" t="s">
        <v>188</v>
      </c>
      <c r="B53" s="21"/>
      <c r="C53" s="11" t="s">
        <v>239</v>
      </c>
      <c r="D53" s="22">
        <f>75000000+20000000</f>
        <v>95000000</v>
      </c>
      <c r="E53" s="22">
        <v>81533901</v>
      </c>
      <c r="F53" s="22">
        <f>95000000+10000000+65000000</f>
        <v>170000000</v>
      </c>
      <c r="G53" s="115">
        <f t="shared" si="0"/>
        <v>178.94736842105263</v>
      </c>
      <c r="H53" s="115">
        <f t="shared" si="1"/>
        <v>85.82515894736842</v>
      </c>
    </row>
    <row r="54" spans="1:8" s="5" customFormat="1" ht="15" customHeight="1">
      <c r="A54" s="99" t="s">
        <v>189</v>
      </c>
      <c r="B54" s="21"/>
      <c r="C54" s="11" t="s">
        <v>257</v>
      </c>
      <c r="D54" s="22">
        <v>15000000</v>
      </c>
      <c r="E54" s="22">
        <v>6646011</v>
      </c>
      <c r="F54" s="22">
        <v>15000000</v>
      </c>
      <c r="G54" s="115">
        <f t="shared" si="0"/>
        <v>100</v>
      </c>
      <c r="H54" s="115">
        <f t="shared" si="1"/>
        <v>44.30674</v>
      </c>
    </row>
    <row r="55" spans="1:8" s="5" customFormat="1" ht="15" customHeight="1">
      <c r="A55" s="99" t="s">
        <v>276</v>
      </c>
      <c r="B55" s="21"/>
      <c r="C55" s="11" t="s">
        <v>252</v>
      </c>
      <c r="D55" s="22">
        <v>70000000</v>
      </c>
      <c r="E55" s="22">
        <v>37886427</v>
      </c>
      <c r="F55" s="22">
        <f>70000000-10000000</f>
        <v>60000000</v>
      </c>
      <c r="G55" s="115">
        <f t="shared" si="0"/>
        <v>85.71428571428571</v>
      </c>
      <c r="H55" s="115">
        <f t="shared" si="1"/>
        <v>54.12346714285714</v>
      </c>
    </row>
    <row r="56" spans="1:8" s="5" customFormat="1" ht="15" customHeight="1">
      <c r="A56" s="99" t="s">
        <v>277</v>
      </c>
      <c r="B56" s="21"/>
      <c r="C56" s="11" t="s">
        <v>193</v>
      </c>
      <c r="D56" s="22">
        <v>0</v>
      </c>
      <c r="E56" s="22"/>
      <c r="F56" s="22">
        <v>0</v>
      </c>
      <c r="G56" s="115" t="str">
        <f t="shared" si="0"/>
        <v>-</v>
      </c>
      <c r="H56" s="115" t="str">
        <f t="shared" si="1"/>
        <v>-</v>
      </c>
    </row>
    <row r="57" spans="1:8" s="20" customFormat="1" ht="21" customHeight="1">
      <c r="A57" s="99"/>
      <c r="B57" s="18">
        <v>72</v>
      </c>
      <c r="C57" s="8" t="s">
        <v>122</v>
      </c>
      <c r="D57" s="19">
        <f>+D58+D64</f>
        <v>340400000</v>
      </c>
      <c r="E57" s="19">
        <f>+E58+E64</f>
        <v>20753329</v>
      </c>
      <c r="F57" s="19">
        <f>+F58+F64</f>
        <v>288459000</v>
      </c>
      <c r="G57" s="79">
        <f t="shared" si="0"/>
        <v>84.74118683901293</v>
      </c>
      <c r="H57" s="79">
        <f t="shared" si="1"/>
        <v>6.096747649823737</v>
      </c>
    </row>
    <row r="58" spans="1:8" s="5" customFormat="1" ht="21" customHeight="1">
      <c r="A58" s="99"/>
      <c r="B58" s="21">
        <v>720</v>
      </c>
      <c r="C58" s="23" t="s">
        <v>179</v>
      </c>
      <c r="D58" s="19">
        <f>+D59+D63</f>
        <v>69000000</v>
      </c>
      <c r="E58" s="19">
        <f>+E59+E63</f>
        <v>7730591</v>
      </c>
      <c r="F58" s="19">
        <f>+F59+F63</f>
        <v>22115000</v>
      </c>
      <c r="G58" s="79">
        <f t="shared" si="0"/>
        <v>32.050724637681164</v>
      </c>
      <c r="H58" s="79">
        <f t="shared" si="1"/>
        <v>11.203755072463768</v>
      </c>
    </row>
    <row r="59" spans="1:8" s="20" customFormat="1" ht="15" customHeight="1">
      <c r="A59" s="99" t="s">
        <v>57</v>
      </c>
      <c r="B59" s="18">
        <v>7200</v>
      </c>
      <c r="C59" s="23" t="s">
        <v>123</v>
      </c>
      <c r="D59" s="19">
        <f>SUM(D60:D62)</f>
        <v>69000000</v>
      </c>
      <c r="E59" s="19">
        <f>SUM(E60:E62)</f>
        <v>7615591</v>
      </c>
      <c r="F59" s="19">
        <f>SUM(F60:F62)</f>
        <v>22000000</v>
      </c>
      <c r="G59" s="79">
        <f t="shared" si="0"/>
        <v>31.88405797101449</v>
      </c>
      <c r="H59" s="79">
        <f t="shared" si="1"/>
        <v>11.037088405797101</v>
      </c>
    </row>
    <row r="60" spans="1:8" s="20" customFormat="1" ht="15" customHeight="1">
      <c r="A60" s="99" t="s">
        <v>194</v>
      </c>
      <c r="B60" s="21"/>
      <c r="C60" s="11" t="s">
        <v>240</v>
      </c>
      <c r="D60" s="22">
        <v>2000000</v>
      </c>
      <c r="E60" s="22">
        <v>1610579</v>
      </c>
      <c r="F60" s="22">
        <v>2000000</v>
      </c>
      <c r="G60" s="115">
        <f t="shared" si="0"/>
        <v>100</v>
      </c>
      <c r="H60" s="115">
        <f t="shared" si="1"/>
        <v>80.52895</v>
      </c>
    </row>
    <row r="61" spans="1:8" s="20" customFormat="1" ht="15" customHeight="1">
      <c r="A61" s="99" t="s">
        <v>195</v>
      </c>
      <c r="B61" s="21"/>
      <c r="C61" s="11" t="s">
        <v>249</v>
      </c>
      <c r="D61" s="22">
        <v>67000000</v>
      </c>
      <c r="E61" s="22">
        <v>6005012</v>
      </c>
      <c r="F61" s="22">
        <f>67000000-30000000-7000000-10000000</f>
        <v>20000000</v>
      </c>
      <c r="G61" s="115">
        <f t="shared" si="0"/>
        <v>29.850746268656714</v>
      </c>
      <c r="H61" s="115">
        <f t="shared" si="1"/>
        <v>8.962704477611942</v>
      </c>
    </row>
    <row r="62" spans="1:8" s="20" customFormat="1" ht="15" customHeight="1">
      <c r="A62" s="99" t="s">
        <v>278</v>
      </c>
      <c r="B62" s="21"/>
      <c r="C62" s="11" t="s">
        <v>267</v>
      </c>
      <c r="D62" s="22">
        <f>112500000-112500000</f>
        <v>0</v>
      </c>
      <c r="E62" s="22"/>
      <c r="F62" s="22">
        <v>0</v>
      </c>
      <c r="G62" s="115"/>
      <c r="H62" s="115" t="str">
        <f t="shared" si="1"/>
        <v>-</v>
      </c>
    </row>
    <row r="63" spans="1:8" s="20" customFormat="1" ht="15" customHeight="1">
      <c r="A63" s="99" t="s">
        <v>58</v>
      </c>
      <c r="B63" s="18">
        <v>7201</v>
      </c>
      <c r="C63" s="23" t="s">
        <v>224</v>
      </c>
      <c r="D63" s="19">
        <v>0</v>
      </c>
      <c r="E63" s="19">
        <v>115000</v>
      </c>
      <c r="F63" s="19">
        <v>115000</v>
      </c>
      <c r="G63" s="79" t="str">
        <f t="shared" si="0"/>
        <v>-</v>
      </c>
      <c r="H63" s="79" t="str">
        <f t="shared" si="1"/>
        <v>-</v>
      </c>
    </row>
    <row r="64" spans="1:8" s="5" customFormat="1" ht="21" customHeight="1">
      <c r="A64" s="99" t="s">
        <v>59</v>
      </c>
      <c r="B64" s="21">
        <v>722</v>
      </c>
      <c r="C64" s="23" t="s">
        <v>197</v>
      </c>
      <c r="D64" s="19">
        <f>SUM(D65:D68)</f>
        <v>271400000</v>
      </c>
      <c r="E64" s="19">
        <f>SUM(E65:E68)</f>
        <v>13022738</v>
      </c>
      <c r="F64" s="19">
        <f>SUM(F65:F68)</f>
        <v>266344000</v>
      </c>
      <c r="G64" s="79">
        <f t="shared" si="0"/>
        <v>98.1370670596905</v>
      </c>
      <c r="H64" s="79">
        <f t="shared" si="1"/>
        <v>4.79835593220339</v>
      </c>
    </row>
    <row r="65" spans="1:8" s="5" customFormat="1" ht="15" customHeight="1">
      <c r="A65" s="99" t="s">
        <v>190</v>
      </c>
      <c r="B65" s="21">
        <v>7220</v>
      </c>
      <c r="C65" s="11" t="s">
        <v>223</v>
      </c>
      <c r="D65" s="22">
        <v>0</v>
      </c>
      <c r="E65" s="22"/>
      <c r="F65" s="22">
        <v>0</v>
      </c>
      <c r="G65" s="115" t="str">
        <f t="shared" si="0"/>
        <v>-</v>
      </c>
      <c r="H65" s="115" t="str">
        <f t="shared" si="1"/>
        <v>-</v>
      </c>
    </row>
    <row r="66" spans="1:8" s="5" customFormat="1" ht="15" customHeight="1">
      <c r="A66" s="99" t="s">
        <v>191</v>
      </c>
      <c r="B66" s="21">
        <v>7221</v>
      </c>
      <c r="C66" s="11" t="s">
        <v>124</v>
      </c>
      <c r="D66" s="22">
        <f>100000000+112500000+31600000+27300000</f>
        <v>271400000</v>
      </c>
      <c r="E66" s="22">
        <v>13022738</v>
      </c>
      <c r="F66" s="22">
        <f>271400000-200000000+174444308+10000100-408+10500000</f>
        <v>266344000</v>
      </c>
      <c r="G66" s="115">
        <f t="shared" si="0"/>
        <v>98.1370670596905</v>
      </c>
      <c r="H66" s="115">
        <f t="shared" si="1"/>
        <v>4.79835593220339</v>
      </c>
    </row>
    <row r="67" spans="1:8" s="5" customFormat="1" ht="15" customHeight="1">
      <c r="A67" s="99" t="s">
        <v>279</v>
      </c>
      <c r="B67" s="21"/>
      <c r="C67" s="11" t="s">
        <v>229</v>
      </c>
      <c r="D67" s="22">
        <v>0</v>
      </c>
      <c r="E67" s="22"/>
      <c r="F67" s="22">
        <v>0</v>
      </c>
      <c r="G67" s="115" t="str">
        <f aca="true" t="shared" si="2" ref="G67:G86">IF(D67=0,"-",$F67/D67*100)</f>
        <v>-</v>
      </c>
      <c r="H67" s="115" t="str">
        <f t="shared" si="1"/>
        <v>-</v>
      </c>
    </row>
    <row r="68" spans="1:8" s="5" customFormat="1" ht="15" customHeight="1">
      <c r="A68" s="99" t="s">
        <v>280</v>
      </c>
      <c r="B68" s="21"/>
      <c r="C68" s="11" t="s">
        <v>225</v>
      </c>
      <c r="D68" s="22">
        <v>0</v>
      </c>
      <c r="E68" s="22"/>
      <c r="F68" s="22">
        <v>0</v>
      </c>
      <c r="G68" s="115" t="str">
        <f t="shared" si="2"/>
        <v>-</v>
      </c>
      <c r="H68" s="115" t="str">
        <f t="shared" si="1"/>
        <v>-</v>
      </c>
    </row>
    <row r="69" spans="1:8" s="20" customFormat="1" ht="15" customHeight="1">
      <c r="A69" s="99"/>
      <c r="B69" s="18">
        <v>73</v>
      </c>
      <c r="C69" s="8" t="s">
        <v>133</v>
      </c>
      <c r="D69" s="19">
        <f>+D70</f>
        <v>1051000</v>
      </c>
      <c r="E69" s="19">
        <f>+E70</f>
        <v>1101000</v>
      </c>
      <c r="F69" s="19">
        <f>+F70</f>
        <v>1101000</v>
      </c>
      <c r="G69" s="79">
        <f t="shared" si="2"/>
        <v>104.75737392959086</v>
      </c>
      <c r="H69" s="79">
        <f aca="true" t="shared" si="3" ref="H69:H86">IF(D69=0,"-",$E69/D69*100)</f>
        <v>104.75737392959086</v>
      </c>
    </row>
    <row r="70" spans="1:8" s="20" customFormat="1" ht="15" customHeight="1">
      <c r="A70" s="99" t="s">
        <v>60</v>
      </c>
      <c r="B70" s="21">
        <v>730</v>
      </c>
      <c r="C70" s="23" t="s">
        <v>134</v>
      </c>
      <c r="D70" s="19">
        <f>SUM(D71:D72)</f>
        <v>1051000</v>
      </c>
      <c r="E70" s="19">
        <f>SUM(E71:E72)</f>
        <v>1101000</v>
      </c>
      <c r="F70" s="19">
        <f>SUM(F71:F72)</f>
        <v>1101000</v>
      </c>
      <c r="G70" s="79">
        <f t="shared" si="2"/>
        <v>104.75737392959086</v>
      </c>
      <c r="H70" s="79">
        <f t="shared" si="3"/>
        <v>104.75737392959086</v>
      </c>
    </row>
    <row r="71" spans="1:8" s="5" customFormat="1" ht="15" customHeight="1">
      <c r="A71" s="99" t="s">
        <v>281</v>
      </c>
      <c r="B71" s="21"/>
      <c r="C71" s="11" t="s">
        <v>256</v>
      </c>
      <c r="D71" s="22">
        <v>1051000</v>
      </c>
      <c r="E71" s="22">
        <v>1051000</v>
      </c>
      <c r="F71" s="22">
        <v>1051000</v>
      </c>
      <c r="G71" s="115">
        <f t="shared" si="2"/>
        <v>100</v>
      </c>
      <c r="H71" s="115">
        <f t="shared" si="3"/>
        <v>100</v>
      </c>
    </row>
    <row r="72" spans="1:8" s="20" customFormat="1" ht="15" customHeight="1">
      <c r="A72" s="99" t="s">
        <v>309</v>
      </c>
      <c r="B72" s="18">
        <v>7300</v>
      </c>
      <c r="C72" s="28" t="s">
        <v>311</v>
      </c>
      <c r="D72" s="22"/>
      <c r="E72" s="22">
        <v>50000</v>
      </c>
      <c r="F72" s="22">
        <v>50000</v>
      </c>
      <c r="G72" s="115" t="str">
        <f t="shared" si="2"/>
        <v>-</v>
      </c>
      <c r="H72" s="115" t="str">
        <f t="shared" si="3"/>
        <v>-</v>
      </c>
    </row>
    <row r="73" spans="1:8" s="20" customFormat="1" ht="21" customHeight="1">
      <c r="A73" s="99"/>
      <c r="B73" s="18">
        <v>74</v>
      </c>
      <c r="C73" s="8" t="s">
        <v>125</v>
      </c>
      <c r="D73" s="19">
        <f>+D75+D83</f>
        <v>53440000</v>
      </c>
      <c r="E73" s="19">
        <f>+E75+E83</f>
        <v>29699085</v>
      </c>
      <c r="F73" s="19">
        <f>+F75+F83</f>
        <v>36347264</v>
      </c>
      <c r="G73" s="79">
        <f t="shared" si="2"/>
        <v>68.0150898203593</v>
      </c>
      <c r="H73" s="79">
        <f t="shared" si="3"/>
        <v>55.57463510479042</v>
      </c>
    </row>
    <row r="74" spans="1:8" s="5" customFormat="1" ht="21" customHeight="1">
      <c r="A74" s="99"/>
      <c r="B74" s="21">
        <v>740</v>
      </c>
      <c r="C74" s="23" t="s">
        <v>241</v>
      </c>
      <c r="D74" s="19">
        <f>SUM(D75)</f>
        <v>53000000</v>
      </c>
      <c r="E74" s="19">
        <f>SUM(E75+E83)</f>
        <v>29699085</v>
      </c>
      <c r="F74" s="19">
        <f>SUM(F75)</f>
        <v>35907264</v>
      </c>
      <c r="G74" s="79">
        <f t="shared" si="2"/>
        <v>67.74955471698114</v>
      </c>
      <c r="H74" s="79">
        <f t="shared" si="3"/>
        <v>56.03600943396226</v>
      </c>
    </row>
    <row r="75" spans="1:8" s="20" customFormat="1" ht="15" customHeight="1">
      <c r="A75" s="99" t="s">
        <v>61</v>
      </c>
      <c r="B75" s="18">
        <v>7400</v>
      </c>
      <c r="C75" s="23" t="s">
        <v>126</v>
      </c>
      <c r="D75" s="19">
        <f>SUM(D76:D82)</f>
        <v>53000000</v>
      </c>
      <c r="E75" s="19">
        <f>SUM(E76:E81)</f>
        <v>29407264</v>
      </c>
      <c r="F75" s="19">
        <f>SUM(F76:F82)</f>
        <v>35907264</v>
      </c>
      <c r="G75" s="79">
        <f t="shared" si="2"/>
        <v>67.74955471698114</v>
      </c>
      <c r="H75" s="79">
        <f t="shared" si="3"/>
        <v>55.485403773584906</v>
      </c>
    </row>
    <row r="76" spans="1:8" s="5" customFormat="1" ht="15" customHeight="1">
      <c r="A76" s="101" t="s">
        <v>230</v>
      </c>
      <c r="B76" s="21"/>
      <c r="C76" s="11" t="s">
        <v>253</v>
      </c>
      <c r="D76" s="22">
        <v>3000000</v>
      </c>
      <c r="E76" s="22">
        <v>4407264</v>
      </c>
      <c r="F76" s="22">
        <f>4407264+1500000</f>
        <v>5907264</v>
      </c>
      <c r="G76" s="115">
        <f t="shared" si="2"/>
        <v>196.90879999999999</v>
      </c>
      <c r="H76" s="115">
        <f t="shared" si="3"/>
        <v>146.90879999999999</v>
      </c>
    </row>
    <row r="77" spans="1:8" s="5" customFormat="1" ht="15" customHeight="1">
      <c r="A77" s="99" t="s">
        <v>269</v>
      </c>
      <c r="B77" s="21"/>
      <c r="C77" s="11" t="s">
        <v>268</v>
      </c>
      <c r="D77" s="22"/>
      <c r="E77" s="22"/>
      <c r="F77" s="22"/>
      <c r="G77" s="115"/>
      <c r="H77" s="115" t="str">
        <f t="shared" si="3"/>
        <v>-</v>
      </c>
    </row>
    <row r="78" spans="1:8" s="5" customFormat="1" ht="15" customHeight="1">
      <c r="A78" s="99" t="s">
        <v>231</v>
      </c>
      <c r="B78" s="21"/>
      <c r="C78" s="11" t="s">
        <v>265</v>
      </c>
      <c r="D78" s="22">
        <f>10000000-5000000</f>
        <v>5000000</v>
      </c>
      <c r="E78" s="22"/>
      <c r="F78" s="22">
        <v>5000000</v>
      </c>
      <c r="G78" s="115">
        <f t="shared" si="2"/>
        <v>100</v>
      </c>
      <c r="H78" s="115">
        <f t="shared" si="3"/>
        <v>0</v>
      </c>
    </row>
    <row r="79" spans="1:8" s="5" customFormat="1" ht="15" customHeight="1">
      <c r="A79" s="99" t="s">
        <v>232</v>
      </c>
      <c r="B79" s="21"/>
      <c r="C79" s="11" t="s">
        <v>254</v>
      </c>
      <c r="D79" s="22"/>
      <c r="E79" s="22"/>
      <c r="F79" s="22"/>
      <c r="G79" s="115" t="str">
        <f t="shared" si="2"/>
        <v>-</v>
      </c>
      <c r="H79" s="115" t="str">
        <f t="shared" si="3"/>
        <v>-</v>
      </c>
    </row>
    <row r="80" spans="1:8" s="5" customFormat="1" ht="15" customHeight="1">
      <c r="A80" s="99" t="s">
        <v>282</v>
      </c>
      <c r="B80" s="21"/>
      <c r="C80" s="11" t="s">
        <v>202</v>
      </c>
      <c r="D80" s="22"/>
      <c r="E80" s="22"/>
      <c r="F80" s="22"/>
      <c r="G80" s="115" t="str">
        <f t="shared" si="2"/>
        <v>-</v>
      </c>
      <c r="H80" s="115" t="str">
        <f t="shared" si="3"/>
        <v>-</v>
      </c>
    </row>
    <row r="81" spans="1:8" s="5" customFormat="1" ht="15" customHeight="1">
      <c r="A81" s="99" t="s">
        <v>283</v>
      </c>
      <c r="B81" s="21"/>
      <c r="C81" s="11" t="s">
        <v>286</v>
      </c>
      <c r="D81" s="22">
        <v>25000000</v>
      </c>
      <c r="E81" s="22">
        <v>25000000</v>
      </c>
      <c r="F81" s="22">
        <v>25000000</v>
      </c>
      <c r="G81" s="115">
        <f t="shared" si="2"/>
        <v>100</v>
      </c>
      <c r="H81" s="115">
        <f t="shared" si="3"/>
        <v>100</v>
      </c>
    </row>
    <row r="82" spans="1:8" s="5" customFormat="1" ht="15" customHeight="1">
      <c r="A82" s="99" t="s">
        <v>284</v>
      </c>
      <c r="B82" s="21"/>
      <c r="C82" s="11" t="s">
        <v>266</v>
      </c>
      <c r="D82" s="22">
        <v>20000000</v>
      </c>
      <c r="E82" s="22"/>
      <c r="F82" s="22">
        <v>0</v>
      </c>
      <c r="G82" s="115"/>
      <c r="H82" s="115">
        <f t="shared" si="3"/>
        <v>0</v>
      </c>
    </row>
    <row r="83" spans="1:8" s="5" customFormat="1" ht="15" customHeight="1">
      <c r="A83" s="99" t="s">
        <v>62</v>
      </c>
      <c r="B83" s="18">
        <v>7401</v>
      </c>
      <c r="C83" s="23" t="s">
        <v>206</v>
      </c>
      <c r="D83" s="19">
        <f>SUM(D84:D85)</f>
        <v>440000</v>
      </c>
      <c r="E83" s="19">
        <f>SUM(E84:E84)</f>
        <v>291821</v>
      </c>
      <c r="F83" s="19">
        <f>SUM(F84:F85)</f>
        <v>440000</v>
      </c>
      <c r="G83" s="79">
        <f t="shared" si="2"/>
        <v>100</v>
      </c>
      <c r="H83" s="79">
        <f t="shared" si="3"/>
        <v>66.32295454545455</v>
      </c>
    </row>
    <row r="84" spans="1:8" s="5" customFormat="1" ht="15" customHeight="1">
      <c r="A84" s="99" t="s">
        <v>233</v>
      </c>
      <c r="B84" s="18"/>
      <c r="C84" s="11" t="s">
        <v>255</v>
      </c>
      <c r="D84" s="22">
        <v>440000</v>
      </c>
      <c r="E84" s="22">
        <v>291821</v>
      </c>
      <c r="F84" s="22">
        <v>440000</v>
      </c>
      <c r="G84" s="115">
        <f t="shared" si="2"/>
        <v>100</v>
      </c>
      <c r="H84" s="115">
        <f t="shared" si="3"/>
        <v>66.32295454545455</v>
      </c>
    </row>
    <row r="85" spans="1:8" s="5" customFormat="1" ht="15" customHeight="1">
      <c r="A85" s="102"/>
      <c r="B85" s="21"/>
      <c r="C85" s="11"/>
      <c r="D85" s="22"/>
      <c r="E85" s="22"/>
      <c r="F85" s="22"/>
      <c r="G85" s="79"/>
      <c r="H85" s="79"/>
    </row>
    <row r="86" spans="1:8" s="20" customFormat="1" ht="21" customHeight="1" thickBot="1">
      <c r="A86" s="105"/>
      <c r="B86" s="24"/>
      <c r="C86" s="25" t="s">
        <v>127</v>
      </c>
      <c r="D86" s="26">
        <f>SUM(D7,D31,D57,D69,D73)</f>
        <v>7032191000</v>
      </c>
      <c r="E86" s="26">
        <f>SUM(E7,E31,E57,E69,E73)</f>
        <v>4156071123</v>
      </c>
      <c r="F86" s="26">
        <f>SUM(F7,F31,F57,F69,F73)</f>
        <v>6851707264</v>
      </c>
      <c r="G86" s="116">
        <f t="shared" si="2"/>
        <v>97.43346368151832</v>
      </c>
      <c r="H86" s="116">
        <f t="shared" si="3"/>
        <v>59.100657575995875</v>
      </c>
    </row>
    <row r="88" spans="3:7" ht="15" customHeight="1">
      <c r="C88" s="113" t="s">
        <v>169</v>
      </c>
      <c r="D88" s="62">
        <f>+D9+D12+D13+D14+D15+D18+D19+D21+D23+D24+D25+D26+D27+D28+D29+D30+D33+D34+D36+D37+D38+D39+D41+D45+D46+D49+D50+D53+D54+D55+D56+D60+D61+D62+D63+D65+D66+D67+D68+D71+D72+D76+D77+D78+D79+D80+D81+D82+D84</f>
        <v>7032191000</v>
      </c>
      <c r="E88" s="62">
        <f>+E9+E12+E13+E14+E15+E18+E19+E21+E23+E24+E25+E26+E27+E28+E29+E30+E33+E34+E36+E37+E38+E39+E41+E45+E46+E49+E50+E53+E54+E55+E56+E60+E61+E62+E63+E65+E66+E67+E68+E71+E72+E76+E77+E78+E79+E80+E81+E82+E84</f>
        <v>4156071123</v>
      </c>
      <c r="F88" s="62">
        <f>+F9+F12+F13+F14+F15+F18+F19+F21+F23+F24+F25+F26+F27+F28+F29+F30+F33+F34+F36+F37+F38+F39+F41+F45+F46+F49+F50+F53+F54+F55+F56+F60+F61+F62+F63+F65+F66+F67+F68+F71+F72+F76+F77+F78+F79+F80+F81+F82+F84</f>
        <v>6851707264</v>
      </c>
      <c r="G88" s="84"/>
    </row>
    <row r="89" spans="3:7" ht="15" customHeight="1">
      <c r="C89" s="103"/>
      <c r="D89" s="62">
        <f>+D7+D31+D57+D69+D73</f>
        <v>7032191000</v>
      </c>
      <c r="E89" s="62">
        <f>+E7+E31+E57+E69+E73</f>
        <v>4156071123</v>
      </c>
      <c r="F89" s="62">
        <f>+F7+F31+F57+F69+F73</f>
        <v>6851707264</v>
      </c>
      <c r="G89" s="4"/>
    </row>
    <row r="90" spans="3:7" ht="15" customHeight="1">
      <c r="C90" s="103"/>
      <c r="D90" s="108"/>
      <c r="E90" s="108"/>
      <c r="F90" s="108"/>
      <c r="G90" s="84"/>
    </row>
    <row r="91" ht="15" customHeight="1">
      <c r="C91" s="1" t="s">
        <v>35</v>
      </c>
    </row>
    <row r="92" spans="4:7" ht="15" customHeight="1">
      <c r="D92" s="84"/>
      <c r="E92" s="84"/>
      <c r="F92" s="84"/>
      <c r="G92" s="84"/>
    </row>
  </sheetData>
  <printOptions/>
  <pageMargins left="0.57" right="0.17" top="0.55" bottom="0.7" header="0.2" footer="0.31496062992125984"/>
  <pageSetup horizontalDpi="360" verticalDpi="360" orientation="portrait" paperSize="9" scale="8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84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00390625" defaultRowHeight="15" customHeight="1"/>
  <cols>
    <col min="1" max="1" width="3.25390625" style="110" bestFit="1" customWidth="1"/>
    <col min="2" max="2" width="5.875" style="71" hidden="1" customWidth="1"/>
    <col min="3" max="3" width="42.75390625" style="86" customWidth="1"/>
    <col min="4" max="4" width="14.125" style="5" customWidth="1"/>
    <col min="5" max="6" width="14.125" style="5" bestFit="1" customWidth="1"/>
    <col min="7" max="8" width="9.875" style="27" customWidth="1"/>
    <col min="9" max="10" width="10.00390625" style="4" customWidth="1"/>
    <col min="11" max="11" width="11.125" style="4" customWidth="1"/>
    <col min="12" max="12" width="10.25390625" style="4" customWidth="1"/>
    <col min="13" max="14" width="11.125" style="4" customWidth="1"/>
    <col min="15" max="20" width="11.125" style="1" customWidth="1"/>
    <col min="21" max="21" width="11.125" style="4" customWidth="1"/>
    <col min="22" max="22" width="10.125" style="1" bestFit="1" customWidth="1"/>
    <col min="23" max="16384" width="9.125" style="1" customWidth="1"/>
  </cols>
  <sheetData>
    <row r="1" spans="1:21" ht="35.25" customHeight="1" thickBot="1">
      <c r="A1" s="109"/>
      <c r="B1" s="64"/>
      <c r="D1" s="112" t="s">
        <v>128</v>
      </c>
      <c r="E1" s="112" t="s">
        <v>128</v>
      </c>
      <c r="F1" s="112" t="s">
        <v>128</v>
      </c>
      <c r="I1" s="121" t="s">
        <v>163</v>
      </c>
      <c r="J1" s="122"/>
      <c r="K1" s="122"/>
      <c r="L1" s="122"/>
      <c r="M1" s="122"/>
      <c r="N1" s="121" t="s">
        <v>163</v>
      </c>
      <c r="O1" s="122"/>
      <c r="P1" s="122"/>
      <c r="Q1" s="122"/>
      <c r="R1" s="85"/>
      <c r="S1" s="75" t="s">
        <v>163</v>
      </c>
      <c r="T1" s="76"/>
      <c r="U1" s="77"/>
    </row>
    <row r="2" spans="1:21" s="7" customFormat="1" ht="52.5" customHeight="1" thickBot="1">
      <c r="A2" s="51" t="s">
        <v>178</v>
      </c>
      <c r="B2" s="96" t="s">
        <v>85</v>
      </c>
      <c r="C2" s="35" t="s">
        <v>174</v>
      </c>
      <c r="D2" s="106" t="s">
        <v>292</v>
      </c>
      <c r="E2" s="106" t="s">
        <v>294</v>
      </c>
      <c r="F2" s="106" t="s">
        <v>293</v>
      </c>
      <c r="G2" s="107" t="s">
        <v>295</v>
      </c>
      <c r="H2" s="107" t="s">
        <v>296</v>
      </c>
      <c r="I2" s="72" t="s">
        <v>38</v>
      </c>
      <c r="J2" s="73" t="s">
        <v>155</v>
      </c>
      <c r="K2" s="73" t="s">
        <v>42</v>
      </c>
      <c r="L2" s="73" t="s">
        <v>156</v>
      </c>
      <c r="M2" s="73" t="s">
        <v>157</v>
      </c>
      <c r="N2" s="73" t="s">
        <v>158</v>
      </c>
      <c r="O2" s="74" t="s">
        <v>39</v>
      </c>
      <c r="P2" s="74" t="s">
        <v>40</v>
      </c>
      <c r="Q2" s="74" t="s">
        <v>159</v>
      </c>
      <c r="R2" s="74" t="s">
        <v>160</v>
      </c>
      <c r="S2" s="74" t="s">
        <v>41</v>
      </c>
      <c r="T2" s="74" t="s">
        <v>162</v>
      </c>
      <c r="U2" s="73" t="s">
        <v>161</v>
      </c>
    </row>
    <row r="3" spans="1:21" s="3" customFormat="1" ht="21" customHeight="1">
      <c r="A3" s="52"/>
      <c r="B3" s="65">
        <v>40</v>
      </c>
      <c r="C3" s="87" t="s">
        <v>15</v>
      </c>
      <c r="D3" s="80">
        <f>+D4+D12+D18+D29+D32</f>
        <v>1885987352</v>
      </c>
      <c r="E3" s="80">
        <f>+E4+E12+E18+E29+E32</f>
        <v>1204382515</v>
      </c>
      <c r="F3" s="80">
        <f>+F4+F12+F18+F29+F32</f>
        <v>1782849448</v>
      </c>
      <c r="G3" s="117">
        <f>IF(D3=0,"-",$F3/D3*100)</f>
        <v>94.53135759947557</v>
      </c>
      <c r="H3" s="117">
        <f>IF(D3=0,"-",$E3/D3*100)</f>
        <v>63.859522372873265</v>
      </c>
      <c r="I3" s="47">
        <v>742268000</v>
      </c>
      <c r="J3" s="47">
        <v>22000000</v>
      </c>
      <c r="K3" s="47">
        <v>490650000</v>
      </c>
      <c r="L3" s="47">
        <v>108033000</v>
      </c>
      <c r="M3" s="47">
        <v>59600000</v>
      </c>
      <c r="N3" s="47">
        <v>1833000</v>
      </c>
      <c r="O3" s="47">
        <v>500000</v>
      </c>
      <c r="P3" s="47">
        <v>2472285</v>
      </c>
      <c r="Q3" s="47">
        <v>520400</v>
      </c>
      <c r="R3" s="47">
        <v>766000</v>
      </c>
      <c r="S3" s="47">
        <v>0</v>
      </c>
      <c r="T3" s="47">
        <v>18342462</v>
      </c>
      <c r="U3" s="47">
        <v>335864301</v>
      </c>
    </row>
    <row r="4" spans="1:21" s="3" customFormat="1" ht="21" customHeight="1">
      <c r="A4" s="52"/>
      <c r="B4" s="66">
        <v>400</v>
      </c>
      <c r="C4" s="10" t="s">
        <v>0</v>
      </c>
      <c r="D4" s="80">
        <f>SUM(D5:D11)</f>
        <v>439225669</v>
      </c>
      <c r="E4" s="80">
        <f>SUM(E5:E11)</f>
        <v>305626971</v>
      </c>
      <c r="F4" s="80">
        <f>SUM(F5:F11)</f>
        <v>431905669</v>
      </c>
      <c r="G4" s="117">
        <f aca="true" t="shared" si="0" ref="G4:G68">IF(D4=0,"-",$F4/D4*100)</f>
        <v>98.33343073580701</v>
      </c>
      <c r="H4" s="117">
        <f aca="true" t="shared" si="1" ref="H4:H68">IF(D4=0,"-",$E4/D4*100)</f>
        <v>69.58313062527318</v>
      </c>
      <c r="I4" s="47">
        <v>431905669</v>
      </c>
      <c r="J4" s="47">
        <v>0</v>
      </c>
      <c r="K4" s="47">
        <v>0</v>
      </c>
      <c r="L4" s="47">
        <v>0</v>
      </c>
      <c r="M4" s="47">
        <v>0</v>
      </c>
      <c r="N4" s="47">
        <v>0</v>
      </c>
      <c r="O4" s="47">
        <v>0</v>
      </c>
      <c r="P4" s="47">
        <v>0</v>
      </c>
      <c r="Q4" s="47">
        <v>0</v>
      </c>
      <c r="R4" s="47">
        <v>0</v>
      </c>
      <c r="S4" s="47">
        <v>0</v>
      </c>
      <c r="T4" s="47">
        <v>0</v>
      </c>
      <c r="U4" s="47">
        <v>0</v>
      </c>
    </row>
    <row r="5" spans="1:21" ht="15" customHeight="1">
      <c r="A5" s="53" t="s">
        <v>43</v>
      </c>
      <c r="B5" s="28">
        <v>4000</v>
      </c>
      <c r="C5" s="30" t="s">
        <v>1</v>
      </c>
      <c r="D5" s="81">
        <v>380465869</v>
      </c>
      <c r="E5" s="81">
        <v>266565483</v>
      </c>
      <c r="F5" s="81">
        <f aca="true" t="shared" si="2" ref="F5:F11">SUM(I5:U5)</f>
        <v>373645869</v>
      </c>
      <c r="G5" s="118">
        <f t="shared" si="0"/>
        <v>98.20746075911477</v>
      </c>
      <c r="H5" s="118">
        <f t="shared" si="1"/>
        <v>70.06291620865471</v>
      </c>
      <c r="I5" s="50">
        <v>373645869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53" t="s">
        <v>44</v>
      </c>
      <c r="B6" s="28">
        <v>4001</v>
      </c>
      <c r="C6" s="30" t="s">
        <v>2</v>
      </c>
      <c r="D6" s="81">
        <v>11936800</v>
      </c>
      <c r="E6" s="81">
        <v>11728600</v>
      </c>
      <c r="F6" s="81">
        <f t="shared" si="2"/>
        <v>11936800</v>
      </c>
      <c r="G6" s="118">
        <f t="shared" si="0"/>
        <v>100</v>
      </c>
      <c r="H6" s="118">
        <f t="shared" si="1"/>
        <v>98.25581395348837</v>
      </c>
      <c r="I6" s="50">
        <v>11936800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</row>
    <row r="7" spans="1:21" ht="15" customHeight="1">
      <c r="A7" s="53" t="s">
        <v>45</v>
      </c>
      <c r="B7" s="28">
        <v>4002</v>
      </c>
      <c r="C7" s="30" t="s">
        <v>3</v>
      </c>
      <c r="D7" s="81">
        <v>28719000</v>
      </c>
      <c r="E7" s="81">
        <v>16638715</v>
      </c>
      <c r="F7" s="81">
        <f t="shared" si="2"/>
        <v>28219000</v>
      </c>
      <c r="G7" s="118">
        <f t="shared" si="0"/>
        <v>98.25899230474599</v>
      </c>
      <c r="H7" s="118">
        <f t="shared" si="1"/>
        <v>57.936261708276746</v>
      </c>
      <c r="I7" s="50">
        <v>28219000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</row>
    <row r="8" spans="1:21" ht="15" customHeight="1">
      <c r="A8" s="53" t="s">
        <v>46</v>
      </c>
      <c r="B8" s="28">
        <v>4003</v>
      </c>
      <c r="C8" s="30" t="s">
        <v>4</v>
      </c>
      <c r="D8" s="81">
        <v>14000000</v>
      </c>
      <c r="E8" s="81">
        <v>9842736</v>
      </c>
      <c r="F8" s="81">
        <f t="shared" si="2"/>
        <v>14000000</v>
      </c>
      <c r="G8" s="118">
        <f t="shared" si="0"/>
        <v>100</v>
      </c>
      <c r="H8" s="118">
        <f t="shared" si="1"/>
        <v>70.30525714285714</v>
      </c>
      <c r="I8" s="50">
        <v>14000000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</row>
    <row r="9" spans="1:21" ht="15" customHeight="1">
      <c r="A9" s="53" t="s">
        <v>47</v>
      </c>
      <c r="B9" s="28">
        <v>4004</v>
      </c>
      <c r="C9" s="30" t="s">
        <v>243</v>
      </c>
      <c r="D9" s="81">
        <v>2200000</v>
      </c>
      <c r="E9" s="81">
        <v>418164</v>
      </c>
      <c r="F9" s="81">
        <f t="shared" si="2"/>
        <v>2200000</v>
      </c>
      <c r="G9" s="118">
        <f t="shared" si="0"/>
        <v>100</v>
      </c>
      <c r="H9" s="118">
        <f t="shared" si="1"/>
        <v>19.007454545454546</v>
      </c>
      <c r="I9" s="50">
        <v>2200000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</row>
    <row r="10" spans="1:21" ht="15" customHeight="1">
      <c r="A10" s="53" t="s">
        <v>48</v>
      </c>
      <c r="B10" s="28">
        <v>4005</v>
      </c>
      <c r="C10" s="30" t="s">
        <v>5</v>
      </c>
      <c r="D10" s="81">
        <v>0</v>
      </c>
      <c r="E10" s="81">
        <v>0</v>
      </c>
      <c r="F10" s="81">
        <f t="shared" si="2"/>
        <v>0</v>
      </c>
      <c r="G10" s="118" t="str">
        <f t="shared" si="0"/>
        <v>-</v>
      </c>
      <c r="H10" s="118" t="str">
        <f t="shared" si="1"/>
        <v>-</v>
      </c>
      <c r="I10" s="49">
        <v>0</v>
      </c>
      <c r="J10" s="49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</row>
    <row r="11" spans="1:21" ht="15" customHeight="1">
      <c r="A11" s="53" t="s">
        <v>49</v>
      </c>
      <c r="B11" s="28">
        <v>4009</v>
      </c>
      <c r="C11" s="30" t="s">
        <v>6</v>
      </c>
      <c r="D11" s="81">
        <v>1904000</v>
      </c>
      <c r="E11" s="81">
        <v>433273</v>
      </c>
      <c r="F11" s="81">
        <f t="shared" si="2"/>
        <v>1904000</v>
      </c>
      <c r="G11" s="118">
        <f t="shared" si="0"/>
        <v>100</v>
      </c>
      <c r="H11" s="118">
        <f t="shared" si="1"/>
        <v>22.755934873949577</v>
      </c>
      <c r="I11" s="50">
        <v>1904000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</row>
    <row r="12" spans="1:21" s="3" customFormat="1" ht="21" customHeight="1">
      <c r="A12" s="52"/>
      <c r="B12" s="66">
        <v>401</v>
      </c>
      <c r="C12" s="10" t="s">
        <v>209</v>
      </c>
      <c r="D12" s="80">
        <f>SUM(D13:D17)</f>
        <v>72324000</v>
      </c>
      <c r="E12" s="80">
        <f>SUM(E13:E17)</f>
        <v>49999076</v>
      </c>
      <c r="F12" s="80">
        <f>SUM(F13:F17)</f>
        <v>72020000</v>
      </c>
      <c r="G12" s="117">
        <f t="shared" si="0"/>
        <v>99.57966926608042</v>
      </c>
      <c r="H12" s="117">
        <f t="shared" si="1"/>
        <v>69.13206681046402</v>
      </c>
      <c r="I12" s="47">
        <v>72020000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</row>
    <row r="13" spans="1:21" ht="15" customHeight="1">
      <c r="A13" s="53" t="s">
        <v>50</v>
      </c>
      <c r="B13" s="28">
        <v>4010</v>
      </c>
      <c r="C13" s="30" t="s">
        <v>207</v>
      </c>
      <c r="D13" s="81">
        <v>35200000</v>
      </c>
      <c r="E13" s="81">
        <v>23832308</v>
      </c>
      <c r="F13" s="81">
        <f>SUM(I13:U13)</f>
        <v>35000000</v>
      </c>
      <c r="G13" s="118">
        <f t="shared" si="0"/>
        <v>99.43181818181817</v>
      </c>
      <c r="H13" s="118">
        <f t="shared" si="1"/>
        <v>67.70542045454545</v>
      </c>
      <c r="I13" s="50">
        <v>35000000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</row>
    <row r="14" spans="1:21" ht="15" customHeight="1">
      <c r="A14" s="53" t="s">
        <v>51</v>
      </c>
      <c r="B14" s="28">
        <v>4011</v>
      </c>
      <c r="C14" s="30" t="s">
        <v>244</v>
      </c>
      <c r="D14" s="81">
        <v>29300000</v>
      </c>
      <c r="E14" s="81">
        <v>20346065</v>
      </c>
      <c r="F14" s="81">
        <f>SUM(I14:U14)</f>
        <v>29200000</v>
      </c>
      <c r="G14" s="118">
        <f t="shared" si="0"/>
        <v>99.65870307167235</v>
      </c>
      <c r="H14" s="118">
        <f t="shared" si="1"/>
        <v>69.44049488054608</v>
      </c>
      <c r="I14" s="50">
        <v>29200000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</row>
    <row r="15" spans="1:21" ht="15" customHeight="1">
      <c r="A15" s="53" t="s">
        <v>52</v>
      </c>
      <c r="B15" s="28">
        <v>4012</v>
      </c>
      <c r="C15" s="30" t="s">
        <v>22</v>
      </c>
      <c r="D15" s="81">
        <v>282000</v>
      </c>
      <c r="E15" s="81">
        <v>166293</v>
      </c>
      <c r="F15" s="81">
        <f>SUM(I15:U15)</f>
        <v>280000</v>
      </c>
      <c r="G15" s="118">
        <f t="shared" si="0"/>
        <v>99.29078014184397</v>
      </c>
      <c r="H15" s="118">
        <f t="shared" si="1"/>
        <v>58.969148936170214</v>
      </c>
      <c r="I15" s="50">
        <v>280000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</row>
    <row r="16" spans="1:21" ht="15" customHeight="1">
      <c r="A16" s="53" t="s">
        <v>53</v>
      </c>
      <c r="B16" s="28">
        <v>4013</v>
      </c>
      <c r="C16" s="30" t="s">
        <v>245</v>
      </c>
      <c r="D16" s="81">
        <v>402000</v>
      </c>
      <c r="E16" s="81">
        <v>277156</v>
      </c>
      <c r="F16" s="81">
        <f>SUM(I16:U16)</f>
        <v>400000</v>
      </c>
      <c r="G16" s="118">
        <f t="shared" si="0"/>
        <v>99.50248756218906</v>
      </c>
      <c r="H16" s="118">
        <f t="shared" si="1"/>
        <v>68.94427860696517</v>
      </c>
      <c r="I16" s="50">
        <v>400000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</row>
    <row r="17" spans="1:21" ht="15" customHeight="1">
      <c r="A17" s="53" t="s">
        <v>54</v>
      </c>
      <c r="B17" s="28">
        <v>4015</v>
      </c>
      <c r="C17" s="30" t="s">
        <v>290</v>
      </c>
      <c r="D17" s="81">
        <v>7140000</v>
      </c>
      <c r="E17" s="81">
        <v>5377254</v>
      </c>
      <c r="F17" s="81">
        <f>SUM(I17:U17)</f>
        <v>7140000</v>
      </c>
      <c r="G17" s="118"/>
      <c r="H17" s="118"/>
      <c r="I17" s="50">
        <v>7140000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</row>
    <row r="18" spans="1:21" s="3" customFormat="1" ht="21" customHeight="1">
      <c r="A18" s="52"/>
      <c r="B18" s="66">
        <v>402</v>
      </c>
      <c r="C18" s="10" t="s">
        <v>7</v>
      </c>
      <c r="D18" s="80">
        <f>SUM(D19:D28)</f>
        <v>1337437683</v>
      </c>
      <c r="E18" s="80">
        <f>SUM(E19:E28)</f>
        <v>827556468</v>
      </c>
      <c r="F18" s="80">
        <f>SUM(F19:F28)</f>
        <v>1241923779</v>
      </c>
      <c r="G18" s="117">
        <f t="shared" si="0"/>
        <v>92.85844079211577</v>
      </c>
      <c r="H18" s="117">
        <f t="shared" si="1"/>
        <v>61.876263733179115</v>
      </c>
      <c r="I18" s="47">
        <v>238342331</v>
      </c>
      <c r="J18" s="47">
        <v>22000000</v>
      </c>
      <c r="K18" s="47">
        <v>490650000</v>
      </c>
      <c r="L18" s="47">
        <v>108033000</v>
      </c>
      <c r="M18" s="47">
        <v>59600000</v>
      </c>
      <c r="N18" s="47">
        <v>1833000</v>
      </c>
      <c r="O18" s="47">
        <v>500000</v>
      </c>
      <c r="P18" s="47">
        <v>2472285</v>
      </c>
      <c r="Q18" s="47">
        <v>520400</v>
      </c>
      <c r="R18" s="47">
        <v>766000</v>
      </c>
      <c r="S18" s="47">
        <v>0</v>
      </c>
      <c r="T18" s="47">
        <v>18342462</v>
      </c>
      <c r="U18" s="47">
        <v>298864301</v>
      </c>
    </row>
    <row r="19" spans="1:21" ht="15" customHeight="1">
      <c r="A19" s="53" t="s">
        <v>55</v>
      </c>
      <c r="B19" s="28">
        <v>4020</v>
      </c>
      <c r="C19" s="30" t="s">
        <v>8</v>
      </c>
      <c r="D19" s="81">
        <v>99670517</v>
      </c>
      <c r="E19" s="81">
        <v>89216794</v>
      </c>
      <c r="F19" s="81">
        <f aca="true" t="shared" si="3" ref="F19:F28">SUM(I19:U19)</f>
        <v>134151017</v>
      </c>
      <c r="G19" s="118">
        <f t="shared" si="0"/>
        <v>134.59448294022593</v>
      </c>
      <c r="H19" s="118">
        <f t="shared" si="1"/>
        <v>89.51171990007838</v>
      </c>
      <c r="I19" s="50">
        <v>69343017</v>
      </c>
      <c r="J19" s="50">
        <v>3000000</v>
      </c>
      <c r="K19" s="50">
        <v>25000000</v>
      </c>
      <c r="L19" s="50">
        <v>4378000</v>
      </c>
      <c r="M19" s="50">
        <v>8900000</v>
      </c>
      <c r="N19" s="50">
        <v>500000</v>
      </c>
      <c r="O19" s="50">
        <v>0</v>
      </c>
      <c r="P19" s="50">
        <v>1200000</v>
      </c>
      <c r="Q19" s="50">
        <v>200000</v>
      </c>
      <c r="R19" s="50">
        <v>0</v>
      </c>
      <c r="S19" s="50">
        <v>0</v>
      </c>
      <c r="T19" s="50">
        <v>3230000</v>
      </c>
      <c r="U19" s="50">
        <v>18400000</v>
      </c>
    </row>
    <row r="20" spans="1:21" ht="15" customHeight="1">
      <c r="A20" s="53" t="s">
        <v>56</v>
      </c>
      <c r="B20" s="28">
        <v>4021</v>
      </c>
      <c r="C20" s="30" t="s">
        <v>9</v>
      </c>
      <c r="D20" s="81">
        <v>19809201</v>
      </c>
      <c r="E20" s="81">
        <v>14201855</v>
      </c>
      <c r="F20" s="81">
        <f t="shared" si="3"/>
        <v>20917701</v>
      </c>
      <c r="G20" s="118">
        <f t="shared" si="0"/>
        <v>105.59588445793446</v>
      </c>
      <c r="H20" s="118">
        <f t="shared" si="1"/>
        <v>71.69322477973745</v>
      </c>
      <c r="I20" s="50">
        <v>5384701</v>
      </c>
      <c r="J20" s="50">
        <v>6700000</v>
      </c>
      <c r="K20" s="50">
        <v>800000</v>
      </c>
      <c r="L20" s="50">
        <v>350000</v>
      </c>
      <c r="M20" s="50">
        <v>100000</v>
      </c>
      <c r="N20" s="50">
        <v>533000</v>
      </c>
      <c r="O20" s="50">
        <v>0</v>
      </c>
      <c r="P20" s="50">
        <v>0</v>
      </c>
      <c r="Q20" s="50">
        <v>200000</v>
      </c>
      <c r="R20" s="50">
        <v>0</v>
      </c>
      <c r="S20" s="50">
        <v>0</v>
      </c>
      <c r="T20" s="50">
        <v>230000</v>
      </c>
      <c r="U20" s="50">
        <v>6620000</v>
      </c>
    </row>
    <row r="21" spans="1:21" ht="15" customHeight="1">
      <c r="A21" s="53" t="s">
        <v>57</v>
      </c>
      <c r="B21" s="28">
        <v>4022</v>
      </c>
      <c r="C21" s="30" t="s">
        <v>208</v>
      </c>
      <c r="D21" s="81">
        <v>313629902</v>
      </c>
      <c r="E21" s="81">
        <v>258800446</v>
      </c>
      <c r="F21" s="81">
        <f t="shared" si="3"/>
        <v>347068902</v>
      </c>
      <c r="G21" s="118">
        <f t="shared" si="0"/>
        <v>110.66192980540484</v>
      </c>
      <c r="H21" s="118">
        <f t="shared" si="1"/>
        <v>82.517784289586</v>
      </c>
      <c r="I21" s="50">
        <v>60018902</v>
      </c>
      <c r="J21" s="50">
        <v>400000</v>
      </c>
      <c r="K21" s="50">
        <v>284050000</v>
      </c>
      <c r="L21" s="50">
        <v>150000</v>
      </c>
      <c r="M21" s="50">
        <v>1500000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850000</v>
      </c>
      <c r="U21" s="50">
        <v>100000</v>
      </c>
    </row>
    <row r="22" spans="1:21" ht="15" customHeight="1">
      <c r="A22" s="53" t="s">
        <v>58</v>
      </c>
      <c r="B22" s="28">
        <v>4023</v>
      </c>
      <c r="C22" s="30" t="s">
        <v>10</v>
      </c>
      <c r="D22" s="81">
        <v>12876212</v>
      </c>
      <c r="E22" s="81">
        <v>9235958</v>
      </c>
      <c r="F22" s="81">
        <f t="shared" si="3"/>
        <v>15015212</v>
      </c>
      <c r="G22" s="118">
        <f t="shared" si="0"/>
        <v>116.61202844439032</v>
      </c>
      <c r="H22" s="118">
        <f t="shared" si="1"/>
        <v>71.72884385563083</v>
      </c>
      <c r="I22" s="50">
        <v>10945212</v>
      </c>
      <c r="J22" s="50">
        <v>1100000</v>
      </c>
      <c r="K22" s="50">
        <v>0</v>
      </c>
      <c r="L22" s="50">
        <v>300000</v>
      </c>
      <c r="M22" s="50">
        <v>520000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2150000</v>
      </c>
    </row>
    <row r="23" spans="1:21" ht="15" customHeight="1">
      <c r="A23" s="53" t="s">
        <v>59</v>
      </c>
      <c r="B23" s="28">
        <v>4024</v>
      </c>
      <c r="C23" s="30" t="s">
        <v>11</v>
      </c>
      <c r="D23" s="81">
        <v>3151392</v>
      </c>
      <c r="E23" s="81">
        <v>3695708</v>
      </c>
      <c r="F23" s="81">
        <f t="shared" si="3"/>
        <v>4711392</v>
      </c>
      <c r="G23" s="118">
        <f t="shared" si="0"/>
        <v>149.50193438328205</v>
      </c>
      <c r="H23" s="118">
        <f t="shared" si="1"/>
        <v>117.27224033062215</v>
      </c>
      <c r="I23" s="50">
        <v>3151392</v>
      </c>
      <c r="J23" s="50">
        <v>0</v>
      </c>
      <c r="K23" s="50">
        <v>0</v>
      </c>
      <c r="L23" s="50">
        <v>0</v>
      </c>
      <c r="M23" s="50">
        <v>1550000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10000</v>
      </c>
      <c r="U23" s="50">
        <v>0</v>
      </c>
    </row>
    <row r="24" spans="1:21" ht="15" customHeight="1">
      <c r="A24" s="53" t="s">
        <v>60</v>
      </c>
      <c r="B24" s="28">
        <v>4025</v>
      </c>
      <c r="C24" s="30" t="s">
        <v>12</v>
      </c>
      <c r="D24" s="81">
        <v>238362668</v>
      </c>
      <c r="E24" s="81">
        <v>126866616</v>
      </c>
      <c r="F24" s="81">
        <f t="shared" si="3"/>
        <v>192052668</v>
      </c>
      <c r="G24" s="118">
        <f t="shared" si="0"/>
        <v>80.57162206289787</v>
      </c>
      <c r="H24" s="118">
        <f t="shared" si="1"/>
        <v>53.224197003869754</v>
      </c>
      <c r="I24" s="50">
        <v>21862668</v>
      </c>
      <c r="J24" s="50">
        <v>3300000</v>
      </c>
      <c r="K24" s="50">
        <v>166350000</v>
      </c>
      <c r="L24" s="50">
        <v>0</v>
      </c>
      <c r="M24" s="50">
        <v>200000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120000</v>
      </c>
      <c r="U24" s="50">
        <v>220000</v>
      </c>
    </row>
    <row r="25" spans="1:21" ht="15" customHeight="1">
      <c r="A25" s="53" t="s">
        <v>61</v>
      </c>
      <c r="B25" s="28">
        <v>4026</v>
      </c>
      <c r="C25" s="30" t="s">
        <v>13</v>
      </c>
      <c r="D25" s="81">
        <v>17026439</v>
      </c>
      <c r="E25" s="81">
        <v>16420687</v>
      </c>
      <c r="F25" s="81">
        <f t="shared" si="3"/>
        <v>22896439</v>
      </c>
      <c r="G25" s="118">
        <f t="shared" si="0"/>
        <v>134.47579379340567</v>
      </c>
      <c r="H25" s="118">
        <f t="shared" si="1"/>
        <v>96.44228602351907</v>
      </c>
      <c r="I25" s="50">
        <v>3466439</v>
      </c>
      <c r="J25" s="50">
        <v>1000000</v>
      </c>
      <c r="K25" s="50">
        <v>8000000</v>
      </c>
      <c r="L25" s="50">
        <v>0</v>
      </c>
      <c r="M25" s="50">
        <v>1350000</v>
      </c>
      <c r="N25" s="50">
        <v>300000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2460000</v>
      </c>
      <c r="U25" s="50">
        <v>6320000</v>
      </c>
    </row>
    <row r="26" spans="1:21" ht="15" customHeight="1">
      <c r="A26" s="53" t="s">
        <v>62</v>
      </c>
      <c r="B26" s="28">
        <v>4027</v>
      </c>
      <c r="C26" s="30" t="s">
        <v>173</v>
      </c>
      <c r="D26" s="81">
        <v>140924667</v>
      </c>
      <c r="E26" s="81">
        <v>141439018</v>
      </c>
      <c r="F26" s="81">
        <f t="shared" si="3"/>
        <v>141584709</v>
      </c>
      <c r="G26" s="118">
        <f t="shared" si="0"/>
        <v>100.46836513014432</v>
      </c>
      <c r="H26" s="118">
        <f t="shared" si="1"/>
        <v>100.36498294510783</v>
      </c>
      <c r="I26" s="50">
        <v>0</v>
      </c>
      <c r="J26" s="50">
        <v>0</v>
      </c>
      <c r="K26" s="50">
        <v>1500000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140084709</v>
      </c>
    </row>
    <row r="27" spans="1:21" ht="15" customHeight="1">
      <c r="A27" s="53" t="s">
        <v>63</v>
      </c>
      <c r="B27" s="28">
        <v>4028</v>
      </c>
      <c r="C27" s="30" t="s">
        <v>185</v>
      </c>
      <c r="D27" s="81">
        <v>24845815</v>
      </c>
      <c r="E27" s="81">
        <v>18072142</v>
      </c>
      <c r="F27" s="81">
        <f t="shared" si="3"/>
        <v>24500000</v>
      </c>
      <c r="G27" s="118">
        <f t="shared" si="0"/>
        <v>98.60815594095021</v>
      </c>
      <c r="H27" s="118">
        <f t="shared" si="1"/>
        <v>72.73716720502024</v>
      </c>
      <c r="I27" s="50">
        <v>24500000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</row>
    <row r="28" spans="1:21" ht="15" customHeight="1">
      <c r="A28" s="53" t="s">
        <v>64</v>
      </c>
      <c r="B28" s="28">
        <v>4029</v>
      </c>
      <c r="C28" s="30" t="s">
        <v>14</v>
      </c>
      <c r="D28" s="81">
        <v>467140870</v>
      </c>
      <c r="E28" s="81">
        <v>149607244</v>
      </c>
      <c r="F28" s="81">
        <f t="shared" si="3"/>
        <v>339025739</v>
      </c>
      <c r="G28" s="118">
        <f t="shared" si="0"/>
        <v>72.57462593671156</v>
      </c>
      <c r="H28" s="118">
        <f t="shared" si="1"/>
        <v>32.02615176873734</v>
      </c>
      <c r="I28" s="50">
        <v>39670000</v>
      </c>
      <c r="J28" s="50">
        <v>6500000</v>
      </c>
      <c r="K28" s="50">
        <v>4950000</v>
      </c>
      <c r="L28" s="50">
        <v>102855000</v>
      </c>
      <c r="M28" s="50">
        <v>45480000</v>
      </c>
      <c r="N28" s="50">
        <v>500000</v>
      </c>
      <c r="O28" s="50">
        <v>500000</v>
      </c>
      <c r="P28" s="50">
        <v>1272285</v>
      </c>
      <c r="Q28" s="50">
        <v>120400</v>
      </c>
      <c r="R28" s="50">
        <v>766000</v>
      </c>
      <c r="S28" s="50">
        <v>0</v>
      </c>
      <c r="T28" s="50">
        <v>11442462</v>
      </c>
      <c r="U28" s="50">
        <v>124969592</v>
      </c>
    </row>
    <row r="29" spans="1:21" s="32" customFormat="1" ht="19.5" customHeight="1">
      <c r="A29" s="54"/>
      <c r="B29" s="67">
        <v>403</v>
      </c>
      <c r="C29" s="10" t="s">
        <v>135</v>
      </c>
      <c r="D29" s="80">
        <f>SUM(D30:D31)</f>
        <v>0</v>
      </c>
      <c r="E29" s="80">
        <f>SUM(E30:E31)</f>
        <v>0</v>
      </c>
      <c r="F29" s="80">
        <f>SUM(F30:F31)</f>
        <v>0</v>
      </c>
      <c r="G29" s="117" t="str">
        <f t="shared" si="0"/>
        <v>-</v>
      </c>
      <c r="H29" s="117" t="str">
        <f t="shared" si="1"/>
        <v>-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</row>
    <row r="30" spans="1:21" s="32" customFormat="1" ht="15" customHeight="1">
      <c r="A30" s="53" t="s">
        <v>65</v>
      </c>
      <c r="B30" s="28">
        <v>4031</v>
      </c>
      <c r="C30" s="30" t="s">
        <v>246</v>
      </c>
      <c r="D30" s="81">
        <v>0</v>
      </c>
      <c r="E30" s="81">
        <v>0</v>
      </c>
      <c r="F30" s="81">
        <f>SUM(I30:U30)</f>
        <v>0</v>
      </c>
      <c r="G30" s="118" t="str">
        <f t="shared" si="0"/>
        <v>-</v>
      </c>
      <c r="H30" s="118" t="str">
        <f t="shared" si="1"/>
        <v>-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</row>
    <row r="31" spans="1:21" ht="15" customHeight="1">
      <c r="A31" s="53" t="s">
        <v>66</v>
      </c>
      <c r="B31" s="28">
        <v>4033</v>
      </c>
      <c r="C31" s="30" t="s">
        <v>136</v>
      </c>
      <c r="D31" s="81">
        <v>0</v>
      </c>
      <c r="E31" s="81">
        <v>0</v>
      </c>
      <c r="F31" s="81">
        <f>SUM(I31:U31)</f>
        <v>0</v>
      </c>
      <c r="G31" s="118" t="str">
        <f t="shared" si="0"/>
        <v>-</v>
      </c>
      <c r="H31" s="118" t="str">
        <f t="shared" si="1"/>
        <v>-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</row>
    <row r="32" spans="1:21" s="3" customFormat="1" ht="21" customHeight="1">
      <c r="A32" s="52"/>
      <c r="B32" s="66">
        <v>409</v>
      </c>
      <c r="C32" s="10" t="s">
        <v>247</v>
      </c>
      <c r="D32" s="80">
        <f>SUM(D33:D34)</f>
        <v>37000000</v>
      </c>
      <c r="E32" s="80">
        <f>SUM(E33:E34)</f>
        <v>21200000</v>
      </c>
      <c r="F32" s="80">
        <f>SUM(F33:F34)</f>
        <v>37000000</v>
      </c>
      <c r="G32" s="117">
        <f t="shared" si="0"/>
        <v>100</v>
      </c>
      <c r="H32" s="117">
        <f t="shared" si="1"/>
        <v>57.2972972972973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37000000</v>
      </c>
    </row>
    <row r="33" spans="1:21" ht="15" customHeight="1">
      <c r="A33" s="53" t="s">
        <v>67</v>
      </c>
      <c r="B33" s="28">
        <v>4090</v>
      </c>
      <c r="C33" s="30" t="s">
        <v>205</v>
      </c>
      <c r="D33" s="81">
        <v>5000000</v>
      </c>
      <c r="E33" s="81">
        <v>0</v>
      </c>
      <c r="F33" s="81">
        <f>SUM(I33:U33)</f>
        <v>5000000</v>
      </c>
      <c r="G33" s="118">
        <f t="shared" si="0"/>
        <v>100</v>
      </c>
      <c r="H33" s="118">
        <f t="shared" si="1"/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5000000</v>
      </c>
    </row>
    <row r="34" spans="1:21" ht="15" customHeight="1">
      <c r="A34" s="53" t="s">
        <v>68</v>
      </c>
      <c r="B34" s="28">
        <v>4091</v>
      </c>
      <c r="C34" s="30" t="s">
        <v>153</v>
      </c>
      <c r="D34" s="81">
        <v>32000000</v>
      </c>
      <c r="E34" s="81">
        <v>21200000</v>
      </c>
      <c r="F34" s="81">
        <f>SUM(I34:U34)</f>
        <v>32000000</v>
      </c>
      <c r="G34" s="118">
        <f t="shared" si="0"/>
        <v>100</v>
      </c>
      <c r="H34" s="118">
        <f t="shared" si="1"/>
        <v>66.25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32000000</v>
      </c>
    </row>
    <row r="35" spans="1:21" s="3" customFormat="1" ht="21" customHeight="1">
      <c r="A35" s="52"/>
      <c r="B35" s="65">
        <v>41</v>
      </c>
      <c r="C35" s="87" t="s">
        <v>20</v>
      </c>
      <c r="D35" s="80">
        <f>SUM(D36+D43+D46+D48)</f>
        <v>2332839040</v>
      </c>
      <c r="E35" s="80">
        <f>SUM(E36+E43+E46+E48)</f>
        <v>1530103350</v>
      </c>
      <c r="F35" s="80">
        <f>SUM(F36+F43+F46+F48)</f>
        <v>2351928434</v>
      </c>
      <c r="G35" s="117">
        <f t="shared" si="0"/>
        <v>100.8182902323171</v>
      </c>
      <c r="H35" s="117">
        <f t="shared" si="1"/>
        <v>65.58975239028922</v>
      </c>
      <c r="I35" s="47">
        <v>0</v>
      </c>
      <c r="J35" s="47">
        <v>105700000</v>
      </c>
      <c r="K35" s="47">
        <v>157800000</v>
      </c>
      <c r="L35" s="47">
        <v>0</v>
      </c>
      <c r="M35" s="47">
        <v>104600000</v>
      </c>
      <c r="N35" s="47">
        <v>337641764</v>
      </c>
      <c r="O35" s="47">
        <v>675339170</v>
      </c>
      <c r="P35" s="47">
        <v>362718470</v>
      </c>
      <c r="Q35" s="47">
        <v>256444000</v>
      </c>
      <c r="R35" s="47">
        <v>152649030</v>
      </c>
      <c r="S35" s="47">
        <v>53426000</v>
      </c>
      <c r="T35" s="47">
        <v>20700000</v>
      </c>
      <c r="U35" s="47">
        <v>124910000</v>
      </c>
    </row>
    <row r="36" spans="1:21" s="3" customFormat="1" ht="21" customHeight="1">
      <c r="A36" s="52"/>
      <c r="B36" s="66">
        <v>410</v>
      </c>
      <c r="C36" s="10" t="s">
        <v>23</v>
      </c>
      <c r="D36" s="80">
        <f>+D37+D40</f>
        <v>144600000</v>
      </c>
      <c r="E36" s="80">
        <f>+E37+E40</f>
        <v>45175186</v>
      </c>
      <c r="F36" s="80">
        <f>+F37+F40</f>
        <v>121600000</v>
      </c>
      <c r="G36" s="117">
        <f t="shared" si="0"/>
        <v>84.09405255878285</v>
      </c>
      <c r="H36" s="117">
        <f t="shared" si="1"/>
        <v>31.241484094052556</v>
      </c>
      <c r="I36" s="47">
        <v>0</v>
      </c>
      <c r="J36" s="47">
        <v>0</v>
      </c>
      <c r="K36" s="47">
        <v>62000000</v>
      </c>
      <c r="L36" s="47">
        <v>0</v>
      </c>
      <c r="M36" s="47">
        <v>59600000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</row>
    <row r="37" spans="1:21" ht="15" customHeight="1">
      <c r="A37" s="53" t="s">
        <v>69</v>
      </c>
      <c r="B37" s="28">
        <v>4100</v>
      </c>
      <c r="C37" s="30" t="s">
        <v>24</v>
      </c>
      <c r="D37" s="81">
        <f>SUM(D38:D39)</f>
        <v>55600000</v>
      </c>
      <c r="E37" s="81">
        <f>SUM(E38:E39)</f>
        <v>33997707</v>
      </c>
      <c r="F37" s="81">
        <f>SUM(F38:F39)</f>
        <v>54000000</v>
      </c>
      <c r="G37" s="118">
        <f t="shared" si="0"/>
        <v>97.12230215827337</v>
      </c>
      <c r="H37" s="118">
        <f t="shared" si="1"/>
        <v>61.14695503597122</v>
      </c>
      <c r="I37" s="50">
        <v>0</v>
      </c>
      <c r="J37" s="50">
        <v>0</v>
      </c>
      <c r="K37" s="50">
        <v>54000000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</row>
    <row r="38" spans="1:21" ht="15" customHeight="1">
      <c r="A38" s="53"/>
      <c r="B38" s="68" t="s">
        <v>129</v>
      </c>
      <c r="C38" s="88" t="s">
        <v>32</v>
      </c>
      <c r="D38" s="81">
        <v>0</v>
      </c>
      <c r="E38" s="81">
        <v>0</v>
      </c>
      <c r="F38" s="81">
        <f>SUM(I38:U38)</f>
        <v>0</v>
      </c>
      <c r="G38" s="118" t="str">
        <f t="shared" si="0"/>
        <v>-</v>
      </c>
      <c r="H38" s="118" t="str">
        <f t="shared" si="1"/>
        <v>-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</row>
    <row r="39" spans="1:21" ht="15" customHeight="1">
      <c r="A39" s="53"/>
      <c r="B39" s="68" t="s">
        <v>130</v>
      </c>
      <c r="C39" s="88" t="s">
        <v>31</v>
      </c>
      <c r="D39" s="81">
        <v>55600000</v>
      </c>
      <c r="E39" s="81">
        <v>33997707</v>
      </c>
      <c r="F39" s="81">
        <f>SUM(I39:U39)</f>
        <v>54000000</v>
      </c>
      <c r="G39" s="118">
        <f t="shared" si="0"/>
        <v>97.12230215827337</v>
      </c>
      <c r="H39" s="118">
        <f t="shared" si="1"/>
        <v>61.14695503597122</v>
      </c>
      <c r="I39" s="50">
        <v>0</v>
      </c>
      <c r="J39" s="50">
        <v>0</v>
      </c>
      <c r="K39" s="50">
        <v>54000000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</row>
    <row r="40" spans="1:21" ht="15" customHeight="1">
      <c r="A40" s="53" t="s">
        <v>70</v>
      </c>
      <c r="B40" s="28">
        <v>4102</v>
      </c>
      <c r="C40" s="30" t="s">
        <v>25</v>
      </c>
      <c r="D40" s="81">
        <f>SUM(D41:D42)</f>
        <v>89000000</v>
      </c>
      <c r="E40" s="81">
        <f>SUM(E41:E42)</f>
        <v>11177479</v>
      </c>
      <c r="F40" s="81">
        <f>SUM(F41:F42)</f>
        <v>67600000</v>
      </c>
      <c r="G40" s="118">
        <f t="shared" si="0"/>
        <v>75.95505617977528</v>
      </c>
      <c r="H40" s="118">
        <f t="shared" si="1"/>
        <v>12.558965168539327</v>
      </c>
      <c r="I40" s="48">
        <v>0</v>
      </c>
      <c r="J40" s="48">
        <v>0</v>
      </c>
      <c r="K40" s="48">
        <v>8000000</v>
      </c>
      <c r="L40" s="48">
        <v>0</v>
      </c>
      <c r="M40" s="48">
        <v>59600000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50">
        <v>0</v>
      </c>
    </row>
    <row r="41" spans="1:21" ht="15" customHeight="1">
      <c r="A41" s="53"/>
      <c r="B41" s="68" t="s">
        <v>129</v>
      </c>
      <c r="C41" s="88" t="s">
        <v>33</v>
      </c>
      <c r="D41" s="81">
        <v>33000000</v>
      </c>
      <c r="E41" s="81">
        <v>7994879</v>
      </c>
      <c r="F41" s="81">
        <f>SUM(I41:U41)</f>
        <v>26600000</v>
      </c>
      <c r="G41" s="118">
        <f t="shared" si="0"/>
        <v>80.60606060606061</v>
      </c>
      <c r="H41" s="118">
        <f t="shared" si="1"/>
        <v>24.22690606060606</v>
      </c>
      <c r="I41" s="50">
        <v>0</v>
      </c>
      <c r="J41" s="50">
        <v>0</v>
      </c>
      <c r="K41" s="50">
        <v>0</v>
      </c>
      <c r="L41" s="50">
        <v>0</v>
      </c>
      <c r="M41" s="50">
        <v>26600000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</row>
    <row r="42" spans="1:21" ht="15" customHeight="1">
      <c r="A42" s="53"/>
      <c r="B42" s="68" t="s">
        <v>130</v>
      </c>
      <c r="C42" s="88" t="s">
        <v>34</v>
      </c>
      <c r="D42" s="81">
        <v>56000000</v>
      </c>
      <c r="E42" s="81">
        <v>3182600</v>
      </c>
      <c r="F42" s="81">
        <f>SUM(I42:U42)</f>
        <v>41000000</v>
      </c>
      <c r="G42" s="118">
        <f t="shared" si="0"/>
        <v>73.21428571428571</v>
      </c>
      <c r="H42" s="118">
        <f t="shared" si="1"/>
        <v>5.6832142857142856</v>
      </c>
      <c r="I42" s="50">
        <v>0</v>
      </c>
      <c r="J42" s="50">
        <v>0</v>
      </c>
      <c r="K42" s="50">
        <v>8000000</v>
      </c>
      <c r="L42" s="50">
        <v>0</v>
      </c>
      <c r="M42" s="50">
        <v>33000000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</row>
    <row r="43" spans="1:21" s="3" customFormat="1" ht="21" customHeight="1">
      <c r="A43" s="52"/>
      <c r="B43" s="66">
        <v>411</v>
      </c>
      <c r="C43" s="10" t="s">
        <v>210</v>
      </c>
      <c r="D43" s="80">
        <f>SUM(D44:D45)</f>
        <v>284801000</v>
      </c>
      <c r="E43" s="80">
        <f>SUM(E44:E45)</f>
        <v>528218228</v>
      </c>
      <c r="F43" s="80">
        <f>SUM(F44:F45)</f>
        <v>744937423</v>
      </c>
      <c r="G43" s="117">
        <f t="shared" si="0"/>
        <v>261.5641879768681</v>
      </c>
      <c r="H43" s="117">
        <f t="shared" si="1"/>
        <v>185.46923220072964</v>
      </c>
      <c r="I43" s="47">
        <v>0</v>
      </c>
      <c r="J43" s="47">
        <v>0</v>
      </c>
      <c r="K43" s="47">
        <v>7000000</v>
      </c>
      <c r="L43" s="47">
        <v>0</v>
      </c>
      <c r="M43" s="47">
        <v>0</v>
      </c>
      <c r="N43" s="47">
        <v>90110000</v>
      </c>
      <c r="O43" s="47">
        <v>525497423</v>
      </c>
      <c r="P43" s="47">
        <v>3000000</v>
      </c>
      <c r="Q43" s="47">
        <v>28200000</v>
      </c>
      <c r="R43" s="47">
        <v>80400000</v>
      </c>
      <c r="S43" s="47">
        <v>280000</v>
      </c>
      <c r="T43" s="47">
        <v>0</v>
      </c>
      <c r="U43" s="47">
        <v>10450000</v>
      </c>
    </row>
    <row r="44" spans="1:21" ht="15" customHeight="1">
      <c r="A44" s="53" t="s">
        <v>71</v>
      </c>
      <c r="B44" s="28">
        <v>4117</v>
      </c>
      <c r="C44" s="30" t="s">
        <v>164</v>
      </c>
      <c r="D44" s="81">
        <v>9000000</v>
      </c>
      <c r="E44" s="81">
        <v>4110295</v>
      </c>
      <c r="F44" s="81">
        <f>SUM(I44:U44)</f>
        <v>7000000</v>
      </c>
      <c r="G44" s="118">
        <f t="shared" si="0"/>
        <v>77.77777777777779</v>
      </c>
      <c r="H44" s="118">
        <f t="shared" si="1"/>
        <v>45.66994444444445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7000000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</row>
    <row r="45" spans="1:21" ht="15" customHeight="1">
      <c r="A45" s="53" t="s">
        <v>72</v>
      </c>
      <c r="B45" s="28">
        <v>4119</v>
      </c>
      <c r="C45" s="30" t="s">
        <v>26</v>
      </c>
      <c r="D45" s="81">
        <v>275801000</v>
      </c>
      <c r="E45" s="81">
        <v>524107933</v>
      </c>
      <c r="F45" s="81">
        <f>SUM(I45:U45)</f>
        <v>737937423</v>
      </c>
      <c r="G45" s="118">
        <f t="shared" si="0"/>
        <v>267.561547275028</v>
      </c>
      <c r="H45" s="118">
        <f t="shared" si="1"/>
        <v>190.03119386804255</v>
      </c>
      <c r="I45" s="50">
        <v>0</v>
      </c>
      <c r="J45" s="50">
        <v>0</v>
      </c>
      <c r="K45" s="50">
        <v>7000000</v>
      </c>
      <c r="L45" s="50">
        <v>0</v>
      </c>
      <c r="M45" s="50">
        <v>0</v>
      </c>
      <c r="N45" s="50">
        <v>83110000</v>
      </c>
      <c r="O45" s="50">
        <v>525497423</v>
      </c>
      <c r="P45" s="50">
        <v>3000000</v>
      </c>
      <c r="Q45" s="50">
        <v>28200000</v>
      </c>
      <c r="R45" s="50">
        <v>80400000</v>
      </c>
      <c r="S45" s="50">
        <v>280000</v>
      </c>
      <c r="T45" s="50">
        <v>0</v>
      </c>
      <c r="U45" s="50">
        <v>10450000</v>
      </c>
    </row>
    <row r="46" spans="1:21" s="3" customFormat="1" ht="21" customHeight="1">
      <c r="A46" s="52"/>
      <c r="B46" s="66">
        <v>412</v>
      </c>
      <c r="C46" s="10" t="s">
        <v>211</v>
      </c>
      <c r="D46" s="80">
        <f>SUM(D47)</f>
        <v>383113000</v>
      </c>
      <c r="E46" s="80">
        <f>SUM(E47)</f>
        <v>205228724</v>
      </c>
      <c r="F46" s="80">
        <f>SUM(F47)</f>
        <v>297309000</v>
      </c>
      <c r="G46" s="117">
        <f t="shared" si="0"/>
        <v>77.60347469284518</v>
      </c>
      <c r="H46" s="117">
        <f t="shared" si="1"/>
        <v>53.568718367687865</v>
      </c>
      <c r="I46" s="47">
        <v>0</v>
      </c>
      <c r="J46" s="47">
        <v>20200000</v>
      </c>
      <c r="K46" s="47">
        <v>0</v>
      </c>
      <c r="L46" s="47">
        <v>0</v>
      </c>
      <c r="M46" s="47">
        <v>40000000</v>
      </c>
      <c r="N46" s="47">
        <v>6780000</v>
      </c>
      <c r="O46" s="47">
        <v>500000</v>
      </c>
      <c r="P46" s="47">
        <v>44940000</v>
      </c>
      <c r="Q46" s="47">
        <v>111279000</v>
      </c>
      <c r="R46" s="47">
        <v>19000000</v>
      </c>
      <c r="S46" s="47">
        <v>0</v>
      </c>
      <c r="T46" s="47">
        <v>13300000</v>
      </c>
      <c r="U46" s="47">
        <v>41310000</v>
      </c>
    </row>
    <row r="47" spans="1:22" ht="15" customHeight="1">
      <c r="A47" s="53" t="s">
        <v>73</v>
      </c>
      <c r="B47" s="28">
        <v>4120</v>
      </c>
      <c r="C47" s="30" t="s">
        <v>212</v>
      </c>
      <c r="D47" s="81">
        <v>383113000</v>
      </c>
      <c r="E47" s="81">
        <v>205228724</v>
      </c>
      <c r="F47" s="81">
        <f>SUM(I47:U47)</f>
        <v>297309000</v>
      </c>
      <c r="G47" s="118">
        <f t="shared" si="0"/>
        <v>77.60347469284518</v>
      </c>
      <c r="H47" s="118">
        <f t="shared" si="1"/>
        <v>53.568718367687865</v>
      </c>
      <c r="I47" s="50">
        <v>0</v>
      </c>
      <c r="J47" s="50">
        <v>20200000</v>
      </c>
      <c r="K47" s="50">
        <v>0</v>
      </c>
      <c r="L47" s="50">
        <v>0</v>
      </c>
      <c r="M47" s="50">
        <v>40000000</v>
      </c>
      <c r="N47" s="50">
        <v>6780000</v>
      </c>
      <c r="O47" s="50">
        <v>500000</v>
      </c>
      <c r="P47" s="50">
        <v>44940000</v>
      </c>
      <c r="Q47" s="50">
        <v>111279000</v>
      </c>
      <c r="R47" s="50">
        <v>19000000</v>
      </c>
      <c r="S47" s="50">
        <v>0</v>
      </c>
      <c r="T47" s="50">
        <v>13300000</v>
      </c>
      <c r="U47" s="50">
        <v>41310000</v>
      </c>
      <c r="V47" s="31"/>
    </row>
    <row r="48" spans="1:21" s="3" customFormat="1" ht="21" customHeight="1">
      <c r="A48" s="52"/>
      <c r="B48" s="66">
        <v>413</v>
      </c>
      <c r="C48" s="10" t="s">
        <v>27</v>
      </c>
      <c r="D48" s="80">
        <f>SUM(D49:D51)+D53</f>
        <v>1520325040</v>
      </c>
      <c r="E48" s="80">
        <f>SUM(E49:E51)+E53</f>
        <v>751481212</v>
      </c>
      <c r="F48" s="80">
        <f>SUM(F49:F51)+F53</f>
        <v>1188082011</v>
      </c>
      <c r="G48" s="117">
        <f t="shared" si="0"/>
        <v>78.14657916835995</v>
      </c>
      <c r="H48" s="117">
        <f t="shared" si="1"/>
        <v>49.428983423176405</v>
      </c>
      <c r="I48" s="47">
        <v>0</v>
      </c>
      <c r="J48" s="47">
        <v>85500000</v>
      </c>
      <c r="K48" s="47">
        <v>88800000</v>
      </c>
      <c r="L48" s="47">
        <v>0</v>
      </c>
      <c r="M48" s="47">
        <v>5000000</v>
      </c>
      <c r="N48" s="47">
        <v>240751764</v>
      </c>
      <c r="O48" s="47">
        <v>149341747</v>
      </c>
      <c r="P48" s="47">
        <v>314778470</v>
      </c>
      <c r="Q48" s="47">
        <v>116965000</v>
      </c>
      <c r="R48" s="47">
        <v>53249030</v>
      </c>
      <c r="S48" s="47">
        <v>53146000</v>
      </c>
      <c r="T48" s="47">
        <v>7400000</v>
      </c>
      <c r="U48" s="47">
        <v>73150000</v>
      </c>
    </row>
    <row r="49" spans="1:21" ht="15" customHeight="1">
      <c r="A49" s="53" t="s">
        <v>74</v>
      </c>
      <c r="B49" s="28">
        <v>4130</v>
      </c>
      <c r="C49" s="30" t="s">
        <v>288</v>
      </c>
      <c r="D49" s="81">
        <v>88900000</v>
      </c>
      <c r="E49" s="81">
        <v>57447966</v>
      </c>
      <c r="F49" s="81">
        <f>SUM(I49:U49)</f>
        <v>99760000</v>
      </c>
      <c r="G49" s="118">
        <f t="shared" si="0"/>
        <v>112.21597300337459</v>
      </c>
      <c r="H49" s="118">
        <f t="shared" si="1"/>
        <v>64.62088413948256</v>
      </c>
      <c r="I49" s="50">
        <v>0</v>
      </c>
      <c r="J49" s="50">
        <v>0</v>
      </c>
      <c r="K49" s="50">
        <v>39100000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500000</v>
      </c>
      <c r="S49" s="50">
        <v>0</v>
      </c>
      <c r="T49" s="50">
        <v>0</v>
      </c>
      <c r="U49" s="50">
        <v>60160000</v>
      </c>
    </row>
    <row r="50" spans="1:21" ht="15" customHeight="1">
      <c r="A50" s="53" t="s">
        <v>75</v>
      </c>
      <c r="B50" s="28">
        <v>4131</v>
      </c>
      <c r="C50" s="30" t="s">
        <v>213</v>
      </c>
      <c r="D50" s="81">
        <v>48276000</v>
      </c>
      <c r="E50" s="81">
        <v>37312190</v>
      </c>
      <c r="F50" s="81">
        <f>SUM(I50:U50)</f>
        <v>48276000</v>
      </c>
      <c r="G50" s="118">
        <f t="shared" si="0"/>
        <v>100</v>
      </c>
      <c r="H50" s="118">
        <f t="shared" si="1"/>
        <v>77.28931560195542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48276000</v>
      </c>
      <c r="T50" s="50">
        <v>0</v>
      </c>
      <c r="U50" s="50">
        <v>0</v>
      </c>
    </row>
    <row r="51" spans="1:21" ht="15" customHeight="1">
      <c r="A51" s="53" t="s">
        <v>76</v>
      </c>
      <c r="B51" s="28">
        <v>4132</v>
      </c>
      <c r="C51" s="30" t="s">
        <v>297</v>
      </c>
      <c r="D51" s="81">
        <f>SUM(D52)</f>
        <v>43700000</v>
      </c>
      <c r="E51" s="81">
        <f>SUM(E52)</f>
        <v>32609758</v>
      </c>
      <c r="F51" s="81">
        <f>SUM(F52)</f>
        <v>55700000</v>
      </c>
      <c r="G51" s="118">
        <f t="shared" si="0"/>
        <v>127.4599542334096</v>
      </c>
      <c r="H51" s="118">
        <f t="shared" si="1"/>
        <v>74.6218718535469</v>
      </c>
      <c r="I51" s="50">
        <v>0</v>
      </c>
      <c r="J51" s="50">
        <v>0</v>
      </c>
      <c r="K51" s="50">
        <v>49700000</v>
      </c>
      <c r="L51" s="50">
        <v>0</v>
      </c>
      <c r="M51" s="50">
        <v>3000000</v>
      </c>
      <c r="N51" s="50">
        <v>0</v>
      </c>
      <c r="O51" s="50">
        <v>0</v>
      </c>
      <c r="P51" s="50">
        <v>3000000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</row>
    <row r="52" spans="1:21" ht="13.5" customHeight="1">
      <c r="A52" s="53"/>
      <c r="B52" s="68" t="s">
        <v>129</v>
      </c>
      <c r="C52" s="99" t="s">
        <v>305</v>
      </c>
      <c r="D52" s="81">
        <v>43700000</v>
      </c>
      <c r="E52" s="81">
        <v>32609758</v>
      </c>
      <c r="F52" s="81">
        <f>SUM(I52:U52)</f>
        <v>55700000</v>
      </c>
      <c r="G52" s="118">
        <f t="shared" si="0"/>
        <v>127.4599542334096</v>
      </c>
      <c r="H52" s="118">
        <f t="shared" si="1"/>
        <v>74.6218718535469</v>
      </c>
      <c r="I52" s="50">
        <v>0</v>
      </c>
      <c r="J52" s="50">
        <v>0</v>
      </c>
      <c r="K52" s="50">
        <v>49700000</v>
      </c>
      <c r="L52" s="50">
        <v>0</v>
      </c>
      <c r="M52" s="50">
        <v>3000000</v>
      </c>
      <c r="N52" s="50">
        <v>0</v>
      </c>
      <c r="O52" s="50">
        <v>0</v>
      </c>
      <c r="P52" s="50">
        <v>3000000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</row>
    <row r="53" spans="1:21" ht="15" customHeight="1">
      <c r="A53" s="53" t="s">
        <v>77</v>
      </c>
      <c r="B53" s="28">
        <v>4133</v>
      </c>
      <c r="C53" s="30" t="s">
        <v>298</v>
      </c>
      <c r="D53" s="81">
        <f>SUM(D54:D56)</f>
        <v>1339449040</v>
      </c>
      <c r="E53" s="81">
        <f>SUM(E54:E56)</f>
        <v>624111298</v>
      </c>
      <c r="F53" s="81">
        <f>SUM(F54:F56)</f>
        <v>984346011</v>
      </c>
      <c r="G53" s="118">
        <f t="shared" si="0"/>
        <v>73.48887352967157</v>
      </c>
      <c r="H53" s="118">
        <f t="shared" si="1"/>
        <v>46.59462804198956</v>
      </c>
      <c r="I53" s="50">
        <v>0</v>
      </c>
      <c r="J53" s="50">
        <v>85500000</v>
      </c>
      <c r="K53" s="50">
        <v>0</v>
      </c>
      <c r="L53" s="50">
        <v>0</v>
      </c>
      <c r="M53" s="50">
        <v>2000000</v>
      </c>
      <c r="N53" s="50">
        <v>240751764</v>
      </c>
      <c r="O53" s="50">
        <v>149341747</v>
      </c>
      <c r="P53" s="50">
        <v>311778470</v>
      </c>
      <c r="Q53" s="50">
        <v>116965000</v>
      </c>
      <c r="R53" s="50">
        <v>52749030</v>
      </c>
      <c r="S53" s="50">
        <v>4870000</v>
      </c>
      <c r="T53" s="50">
        <v>7400000</v>
      </c>
      <c r="U53" s="50">
        <v>12990000</v>
      </c>
    </row>
    <row r="54" spans="1:21" ht="15" customHeight="1">
      <c r="A54" s="53"/>
      <c r="B54" s="91">
        <v>-413300</v>
      </c>
      <c r="C54" s="88" t="s">
        <v>214</v>
      </c>
      <c r="D54" s="81">
        <v>836593399</v>
      </c>
      <c r="E54" s="81">
        <v>362194523</v>
      </c>
      <c r="F54" s="81">
        <f>SUM(I54:U54)</f>
        <v>568791963</v>
      </c>
      <c r="G54" s="118">
        <f t="shared" si="0"/>
        <v>67.98905701143359</v>
      </c>
      <c r="H54" s="118">
        <f t="shared" si="1"/>
        <v>43.29397332478833</v>
      </c>
      <c r="I54" s="50">
        <v>0</v>
      </c>
      <c r="J54" s="50">
        <v>69500000</v>
      </c>
      <c r="K54" s="50">
        <v>0</v>
      </c>
      <c r="L54" s="50">
        <v>0</v>
      </c>
      <c r="M54" s="50">
        <v>0</v>
      </c>
      <c r="N54" s="50">
        <v>138110000</v>
      </c>
      <c r="O54" s="50">
        <v>114158747</v>
      </c>
      <c r="P54" s="50">
        <v>154601216</v>
      </c>
      <c r="Q54" s="50">
        <v>57007000</v>
      </c>
      <c r="R54" s="50">
        <v>29675000</v>
      </c>
      <c r="S54" s="50">
        <v>0</v>
      </c>
      <c r="T54" s="50">
        <v>1330000</v>
      </c>
      <c r="U54" s="50">
        <v>4410000</v>
      </c>
    </row>
    <row r="55" spans="1:21" ht="15" customHeight="1">
      <c r="A55" s="53"/>
      <c r="B55" s="91">
        <v>-413301</v>
      </c>
      <c r="C55" s="88" t="s">
        <v>215</v>
      </c>
      <c r="D55" s="81">
        <v>119287691</v>
      </c>
      <c r="E55" s="81">
        <v>45279454</v>
      </c>
      <c r="F55" s="81">
        <f>SUM(I55:U55)</f>
        <v>67140204</v>
      </c>
      <c r="G55" s="118">
        <f t="shared" si="0"/>
        <v>56.28426825698219</v>
      </c>
      <c r="H55" s="118">
        <f t="shared" si="1"/>
        <v>37.95819469755685</v>
      </c>
      <c r="I55" s="50">
        <v>0</v>
      </c>
      <c r="J55" s="50">
        <v>16000000</v>
      </c>
      <c r="K55" s="50">
        <v>0</v>
      </c>
      <c r="L55" s="50">
        <v>0</v>
      </c>
      <c r="M55" s="50">
        <v>0</v>
      </c>
      <c r="N55" s="50">
        <v>17970000</v>
      </c>
      <c r="O55" s="50">
        <v>0</v>
      </c>
      <c r="P55" s="50">
        <v>21655204</v>
      </c>
      <c r="Q55" s="50">
        <v>7388000</v>
      </c>
      <c r="R55" s="50">
        <v>3932000</v>
      </c>
      <c r="S55" s="50">
        <v>0</v>
      </c>
      <c r="T55" s="50">
        <v>195000</v>
      </c>
      <c r="U55" s="50">
        <v>0</v>
      </c>
    </row>
    <row r="56" spans="1:21" ht="15" customHeight="1">
      <c r="A56" s="53"/>
      <c r="B56" s="91">
        <v>-413302</v>
      </c>
      <c r="C56" s="88" t="s">
        <v>216</v>
      </c>
      <c r="D56" s="81">
        <v>383567950</v>
      </c>
      <c r="E56" s="81">
        <v>216637321</v>
      </c>
      <c r="F56" s="81">
        <f>SUM(I56:U56)</f>
        <v>348413844</v>
      </c>
      <c r="G56" s="118">
        <f t="shared" si="0"/>
        <v>90.8349730471485</v>
      </c>
      <c r="H56" s="118">
        <f t="shared" si="1"/>
        <v>56.479515819817586</v>
      </c>
      <c r="I56" s="50">
        <v>0</v>
      </c>
      <c r="J56" s="50">
        <v>0</v>
      </c>
      <c r="K56" s="50">
        <v>0</v>
      </c>
      <c r="L56" s="50">
        <v>0</v>
      </c>
      <c r="M56" s="50">
        <v>2000000</v>
      </c>
      <c r="N56" s="50">
        <v>84671764</v>
      </c>
      <c r="O56" s="50">
        <v>35183000</v>
      </c>
      <c r="P56" s="50">
        <v>135522050</v>
      </c>
      <c r="Q56" s="50">
        <v>52570000</v>
      </c>
      <c r="R56" s="50">
        <v>19142030</v>
      </c>
      <c r="S56" s="50">
        <v>4870000</v>
      </c>
      <c r="T56" s="50">
        <v>5875000</v>
      </c>
      <c r="U56" s="50">
        <v>8580000</v>
      </c>
    </row>
    <row r="57" spans="1:21" s="2" customFormat="1" ht="21" customHeight="1">
      <c r="A57" s="55"/>
      <c r="B57" s="65">
        <v>42</v>
      </c>
      <c r="C57" s="87" t="s">
        <v>36</v>
      </c>
      <c r="D57" s="80">
        <f>+D58</f>
        <v>1454725000</v>
      </c>
      <c r="E57" s="80">
        <f>+E58</f>
        <v>620192269</v>
      </c>
      <c r="F57" s="80">
        <f>+F58</f>
        <v>1670280000</v>
      </c>
      <c r="G57" s="117">
        <f t="shared" si="0"/>
        <v>114.81757720531371</v>
      </c>
      <c r="H57" s="117">
        <f t="shared" si="1"/>
        <v>42.6329559882452</v>
      </c>
      <c r="I57" s="47">
        <v>20100000</v>
      </c>
      <c r="J57" s="47">
        <v>3500000</v>
      </c>
      <c r="K57" s="47">
        <v>1468950000</v>
      </c>
      <c r="L57" s="47">
        <v>24000000</v>
      </c>
      <c r="M57" s="47">
        <v>80240000</v>
      </c>
      <c r="N57" s="47">
        <v>67000000</v>
      </c>
      <c r="O57" s="47">
        <v>0</v>
      </c>
      <c r="P57" s="47">
        <v>4000000</v>
      </c>
      <c r="Q57" s="47">
        <v>2290000</v>
      </c>
      <c r="R57" s="47">
        <v>0</v>
      </c>
      <c r="S57" s="47">
        <v>0</v>
      </c>
      <c r="T57" s="47">
        <v>200000</v>
      </c>
      <c r="U57" s="47">
        <v>0</v>
      </c>
    </row>
    <row r="58" spans="1:21" s="3" customFormat="1" ht="21" customHeight="1">
      <c r="A58" s="52"/>
      <c r="B58" s="65">
        <v>420</v>
      </c>
      <c r="C58" s="10" t="s">
        <v>16</v>
      </c>
      <c r="D58" s="80">
        <f>SUM(D59:D67)</f>
        <v>1454725000</v>
      </c>
      <c r="E58" s="80">
        <f>SUM(E59:E67)</f>
        <v>620192269</v>
      </c>
      <c r="F58" s="80">
        <f>SUM(F59:F67)</f>
        <v>1670280000</v>
      </c>
      <c r="G58" s="117">
        <f t="shared" si="0"/>
        <v>114.81757720531371</v>
      </c>
      <c r="H58" s="117">
        <f t="shared" si="1"/>
        <v>42.6329559882452</v>
      </c>
      <c r="I58" s="47">
        <v>20100000</v>
      </c>
      <c r="J58" s="47">
        <v>3500000</v>
      </c>
      <c r="K58" s="47">
        <v>1468950000</v>
      </c>
      <c r="L58" s="47">
        <v>24000000</v>
      </c>
      <c r="M58" s="47">
        <v>80240000</v>
      </c>
      <c r="N58" s="47">
        <v>67000000</v>
      </c>
      <c r="O58" s="47">
        <v>0</v>
      </c>
      <c r="P58" s="47">
        <v>4000000</v>
      </c>
      <c r="Q58" s="47">
        <v>2290000</v>
      </c>
      <c r="R58" s="47">
        <v>0</v>
      </c>
      <c r="S58" s="47">
        <v>0</v>
      </c>
      <c r="T58" s="47">
        <v>200000</v>
      </c>
      <c r="U58" s="47">
        <v>0</v>
      </c>
    </row>
    <row r="59" spans="1:21" ht="15" customHeight="1">
      <c r="A59" s="53" t="s">
        <v>78</v>
      </c>
      <c r="B59" s="28">
        <v>4200</v>
      </c>
      <c r="C59" s="30" t="s">
        <v>17</v>
      </c>
      <c r="D59" s="81">
        <v>86340000</v>
      </c>
      <c r="E59" s="81">
        <v>74300662</v>
      </c>
      <c r="F59" s="81">
        <f aca="true" t="shared" si="4" ref="F59:F67">SUM(I59:U59)</f>
        <v>93340000</v>
      </c>
      <c r="G59" s="118">
        <f t="shared" si="0"/>
        <v>108.10748204771832</v>
      </c>
      <c r="H59" s="118">
        <f t="shared" si="1"/>
        <v>86.05589761408385</v>
      </c>
      <c r="I59" s="50">
        <v>0</v>
      </c>
      <c r="J59" s="50">
        <v>0</v>
      </c>
      <c r="K59" s="50">
        <v>0</v>
      </c>
      <c r="L59" s="50">
        <v>0</v>
      </c>
      <c r="M59" s="50">
        <v>29340000</v>
      </c>
      <c r="N59" s="50">
        <v>64000000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</row>
    <row r="60" spans="1:21" ht="15" customHeight="1">
      <c r="A60" s="53" t="s">
        <v>79</v>
      </c>
      <c r="B60" s="28">
        <v>4201</v>
      </c>
      <c r="C60" s="30" t="s">
        <v>138</v>
      </c>
      <c r="D60" s="81">
        <v>5785000</v>
      </c>
      <c r="E60" s="81">
        <v>0</v>
      </c>
      <c r="F60" s="81">
        <f t="shared" si="4"/>
        <v>4000000</v>
      </c>
      <c r="G60" s="118">
        <f t="shared" si="0"/>
        <v>69.14433880726016</v>
      </c>
      <c r="H60" s="118">
        <f t="shared" si="1"/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4000000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</row>
    <row r="61" spans="1:21" ht="15" customHeight="1">
      <c r="A61" s="53" t="s">
        <v>80</v>
      </c>
      <c r="B61" s="28">
        <v>4202</v>
      </c>
      <c r="C61" s="30" t="s">
        <v>18</v>
      </c>
      <c r="D61" s="81">
        <v>23800000</v>
      </c>
      <c r="E61" s="81">
        <v>10086229</v>
      </c>
      <c r="F61" s="81">
        <f t="shared" si="4"/>
        <v>13400000</v>
      </c>
      <c r="G61" s="118">
        <f t="shared" si="0"/>
        <v>56.30252100840336</v>
      </c>
      <c r="H61" s="118">
        <f t="shared" si="1"/>
        <v>42.37911344537815</v>
      </c>
      <c r="I61" s="50">
        <v>10600000</v>
      </c>
      <c r="J61" s="50">
        <v>1500000</v>
      </c>
      <c r="K61" s="50">
        <v>0</v>
      </c>
      <c r="L61" s="50">
        <v>1000000</v>
      </c>
      <c r="M61" s="50">
        <v>200000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100000</v>
      </c>
      <c r="U61" s="50">
        <v>0</v>
      </c>
    </row>
    <row r="62" spans="1:21" ht="15" customHeight="1">
      <c r="A62" s="53" t="s">
        <v>81</v>
      </c>
      <c r="B62" s="28">
        <v>4203</v>
      </c>
      <c r="C62" s="30" t="s">
        <v>28</v>
      </c>
      <c r="D62" s="81">
        <v>0</v>
      </c>
      <c r="E62" s="81">
        <v>38779320</v>
      </c>
      <c r="F62" s="81">
        <f t="shared" si="4"/>
        <v>39000000</v>
      </c>
      <c r="G62" s="118" t="str">
        <f t="shared" si="0"/>
        <v>-</v>
      </c>
      <c r="H62" s="118" t="str">
        <f t="shared" si="1"/>
        <v>-</v>
      </c>
      <c r="I62" s="50">
        <v>0</v>
      </c>
      <c r="J62" s="50">
        <v>0</v>
      </c>
      <c r="K62" s="50">
        <v>39000000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</row>
    <row r="63" spans="1:21" ht="15" customHeight="1">
      <c r="A63" s="53" t="s">
        <v>82</v>
      </c>
      <c r="B63" s="28">
        <v>4204</v>
      </c>
      <c r="C63" s="30" t="s">
        <v>29</v>
      </c>
      <c r="D63" s="81">
        <v>775000000</v>
      </c>
      <c r="E63" s="81">
        <v>258741872</v>
      </c>
      <c r="F63" s="81">
        <f t="shared" si="4"/>
        <v>1097850000</v>
      </c>
      <c r="G63" s="118">
        <f t="shared" si="0"/>
        <v>141.65806451612903</v>
      </c>
      <c r="H63" s="118">
        <f t="shared" si="1"/>
        <v>33.386048</v>
      </c>
      <c r="I63" s="50">
        <v>0</v>
      </c>
      <c r="J63" s="50">
        <v>2000000</v>
      </c>
      <c r="K63" s="50">
        <v>1070850000</v>
      </c>
      <c r="L63" s="50">
        <v>0</v>
      </c>
      <c r="M63" s="50">
        <v>25000000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</row>
    <row r="64" spans="1:21" ht="15" customHeight="1">
      <c r="A64" s="53" t="s">
        <v>83</v>
      </c>
      <c r="B64" s="28">
        <v>4205</v>
      </c>
      <c r="C64" s="30" t="s">
        <v>19</v>
      </c>
      <c r="D64" s="81">
        <v>253300000</v>
      </c>
      <c r="E64" s="81">
        <v>13259387</v>
      </c>
      <c r="F64" s="81">
        <f t="shared" si="4"/>
        <v>32840000</v>
      </c>
      <c r="G64" s="118">
        <f t="shared" si="0"/>
        <v>12.964863797868139</v>
      </c>
      <c r="H64" s="118">
        <f t="shared" si="1"/>
        <v>5.2346573233320175</v>
      </c>
      <c r="I64" s="50">
        <v>9500000</v>
      </c>
      <c r="J64" s="50">
        <v>0</v>
      </c>
      <c r="K64" s="50">
        <v>7150000</v>
      </c>
      <c r="L64" s="50">
        <v>0</v>
      </c>
      <c r="M64" s="50">
        <v>15500000</v>
      </c>
      <c r="N64" s="50">
        <v>0</v>
      </c>
      <c r="O64" s="50">
        <v>0</v>
      </c>
      <c r="P64" s="50">
        <v>0</v>
      </c>
      <c r="Q64" s="50">
        <v>590000</v>
      </c>
      <c r="R64" s="50">
        <v>0</v>
      </c>
      <c r="S64" s="50">
        <v>0</v>
      </c>
      <c r="T64" s="50">
        <v>100000</v>
      </c>
      <c r="U64" s="50">
        <v>0</v>
      </c>
    </row>
    <row r="65" spans="1:21" ht="15" customHeight="1">
      <c r="A65" s="53" t="s">
        <v>131</v>
      </c>
      <c r="B65" s="28">
        <v>4206</v>
      </c>
      <c r="C65" s="30" t="s">
        <v>30</v>
      </c>
      <c r="D65" s="81">
        <v>215500000</v>
      </c>
      <c r="E65" s="81">
        <v>138826574</v>
      </c>
      <c r="F65" s="81">
        <f t="shared" si="4"/>
        <v>201550000</v>
      </c>
      <c r="G65" s="118">
        <f t="shared" si="0"/>
        <v>93.52668213457078</v>
      </c>
      <c r="H65" s="118">
        <f t="shared" si="1"/>
        <v>64.42068399071927</v>
      </c>
      <c r="I65" s="50">
        <v>0</v>
      </c>
      <c r="J65" s="50">
        <v>0</v>
      </c>
      <c r="K65" s="50">
        <v>201450000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100000</v>
      </c>
      <c r="R65" s="50">
        <v>0</v>
      </c>
      <c r="S65" s="50">
        <v>0</v>
      </c>
      <c r="T65" s="50">
        <v>0</v>
      </c>
      <c r="U65" s="50">
        <v>0</v>
      </c>
    </row>
    <row r="66" spans="1:21" ht="15" customHeight="1">
      <c r="A66" s="53" t="s">
        <v>84</v>
      </c>
      <c r="B66" s="28">
        <v>4207</v>
      </c>
      <c r="C66" s="30" t="s">
        <v>137</v>
      </c>
      <c r="D66" s="81">
        <v>0</v>
      </c>
      <c r="E66" s="81">
        <v>0</v>
      </c>
      <c r="F66" s="81">
        <f t="shared" si="4"/>
        <v>0</v>
      </c>
      <c r="G66" s="118" t="str">
        <f t="shared" si="0"/>
        <v>-</v>
      </c>
      <c r="H66" s="118" t="str">
        <f t="shared" si="1"/>
        <v>-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</row>
    <row r="67" spans="1:21" ht="15" customHeight="1">
      <c r="A67" s="53" t="s">
        <v>148</v>
      </c>
      <c r="B67" s="28">
        <v>4208</v>
      </c>
      <c r="C67" s="30" t="s">
        <v>248</v>
      </c>
      <c r="D67" s="81">
        <v>95000000</v>
      </c>
      <c r="E67" s="81">
        <v>86198225</v>
      </c>
      <c r="F67" s="81">
        <f t="shared" si="4"/>
        <v>188300000</v>
      </c>
      <c r="G67" s="118">
        <f t="shared" si="0"/>
        <v>198.21052631578948</v>
      </c>
      <c r="H67" s="118">
        <f t="shared" si="1"/>
        <v>90.73497368421053</v>
      </c>
      <c r="I67" s="50">
        <v>0</v>
      </c>
      <c r="J67" s="50">
        <v>0</v>
      </c>
      <c r="K67" s="50">
        <v>150500000</v>
      </c>
      <c r="L67" s="50">
        <v>23000000</v>
      </c>
      <c r="M67" s="50">
        <v>10200000</v>
      </c>
      <c r="N67" s="50">
        <v>3000000</v>
      </c>
      <c r="O67" s="50">
        <v>0</v>
      </c>
      <c r="P67" s="50">
        <v>0</v>
      </c>
      <c r="Q67" s="50">
        <v>1600000</v>
      </c>
      <c r="R67" s="50">
        <v>0</v>
      </c>
      <c r="S67" s="50">
        <v>0</v>
      </c>
      <c r="T67" s="50">
        <v>0</v>
      </c>
      <c r="U67" s="50">
        <v>0</v>
      </c>
    </row>
    <row r="68" spans="1:21" s="2" customFormat="1" ht="21" customHeight="1">
      <c r="A68" s="55"/>
      <c r="B68" s="66">
        <v>43</v>
      </c>
      <c r="C68" s="87" t="s">
        <v>21</v>
      </c>
      <c r="D68" s="80">
        <f>SUM(D69)</f>
        <v>1400286715</v>
      </c>
      <c r="E68" s="80">
        <f>SUM(E69)</f>
        <v>309177787</v>
      </c>
      <c r="F68" s="80">
        <f>SUM(F69)</f>
        <v>1101038393</v>
      </c>
      <c r="G68" s="117">
        <f t="shared" si="0"/>
        <v>78.62949645994463</v>
      </c>
      <c r="H68" s="117">
        <f t="shared" si="1"/>
        <v>22.079605818441262</v>
      </c>
      <c r="I68" s="47">
        <v>0</v>
      </c>
      <c r="J68" s="47">
        <v>51221040</v>
      </c>
      <c r="K68" s="47">
        <v>496800000</v>
      </c>
      <c r="L68" s="47">
        <v>0</v>
      </c>
      <c r="M68" s="47">
        <v>56000000</v>
      </c>
      <c r="N68" s="47">
        <v>127800000</v>
      </c>
      <c r="O68" s="47">
        <v>47822000</v>
      </c>
      <c r="P68" s="47">
        <v>57084715</v>
      </c>
      <c r="Q68" s="47">
        <v>116675000</v>
      </c>
      <c r="R68" s="47">
        <v>0</v>
      </c>
      <c r="S68" s="47">
        <v>46000000</v>
      </c>
      <c r="T68" s="47">
        <v>4557538</v>
      </c>
      <c r="U68" s="47">
        <v>97078100</v>
      </c>
    </row>
    <row r="69" spans="1:21" s="3" customFormat="1" ht="21" customHeight="1">
      <c r="A69" s="52"/>
      <c r="B69" s="66">
        <v>430</v>
      </c>
      <c r="C69" s="10" t="s">
        <v>21</v>
      </c>
      <c r="D69" s="80">
        <f>SUM(D74:D79)+D70+D71</f>
        <v>1400286715</v>
      </c>
      <c r="E69" s="80">
        <f>SUM(E74:E79)+E70+E71</f>
        <v>309177787</v>
      </c>
      <c r="F69" s="80">
        <f>SUM(F74:F79)+F70+F71</f>
        <v>1101038393</v>
      </c>
      <c r="G69" s="117">
        <f aca="true" t="shared" si="5" ref="G69:G80">IF(D69=0,"-",$F69/D69*100)</f>
        <v>78.62949645994463</v>
      </c>
      <c r="H69" s="117">
        <f aca="true" t="shared" si="6" ref="H69:H80">IF(D69=0,"-",$E69/D69*100)</f>
        <v>22.079605818441262</v>
      </c>
      <c r="I69" s="47">
        <v>0</v>
      </c>
      <c r="J69" s="47">
        <v>51221040</v>
      </c>
      <c r="K69" s="47">
        <v>496800000</v>
      </c>
      <c r="L69" s="47">
        <v>0</v>
      </c>
      <c r="M69" s="47">
        <v>56000000</v>
      </c>
      <c r="N69" s="47">
        <v>127800000</v>
      </c>
      <c r="O69" s="47">
        <v>47822000</v>
      </c>
      <c r="P69" s="47">
        <v>57084715</v>
      </c>
      <c r="Q69" s="47">
        <v>116675000</v>
      </c>
      <c r="R69" s="47">
        <v>0</v>
      </c>
      <c r="S69" s="47">
        <v>46000000</v>
      </c>
      <c r="T69" s="47">
        <v>4557538</v>
      </c>
      <c r="U69" s="47">
        <v>97078100</v>
      </c>
    </row>
    <row r="70" spans="1:21" ht="15" customHeight="1">
      <c r="A70" s="53" t="s">
        <v>149</v>
      </c>
      <c r="B70" s="28">
        <v>4300</v>
      </c>
      <c r="C70" s="89" t="s">
        <v>289</v>
      </c>
      <c r="D70" s="81">
        <v>183000000</v>
      </c>
      <c r="E70" s="81">
        <v>69899827</v>
      </c>
      <c r="F70" s="81">
        <f>SUM(I70:U70)</f>
        <v>194268100</v>
      </c>
      <c r="G70" s="118">
        <f t="shared" si="5"/>
        <v>106.15743169398908</v>
      </c>
      <c r="H70" s="118">
        <f t="shared" si="6"/>
        <v>38.19662677595628</v>
      </c>
      <c r="I70" s="50">
        <v>0</v>
      </c>
      <c r="J70" s="50">
        <v>5000000</v>
      </c>
      <c r="K70" s="50">
        <v>79500000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12690000</v>
      </c>
      <c r="R70" s="50">
        <v>0</v>
      </c>
      <c r="S70" s="50">
        <v>0</v>
      </c>
      <c r="T70" s="50">
        <v>0</v>
      </c>
      <c r="U70" s="50">
        <v>97078100</v>
      </c>
    </row>
    <row r="71" spans="1:21" ht="15" customHeight="1">
      <c r="A71" s="53" t="s">
        <v>150</v>
      </c>
      <c r="B71" s="28">
        <v>4301</v>
      </c>
      <c r="C71" s="89" t="s">
        <v>299</v>
      </c>
      <c r="D71" s="81">
        <v>0</v>
      </c>
      <c r="E71" s="81">
        <f>SUM(E72:E73)</f>
        <v>0</v>
      </c>
      <c r="F71" s="81">
        <f>SUM(F72:F73)</f>
        <v>0</v>
      </c>
      <c r="G71" s="118" t="str">
        <f t="shared" si="5"/>
        <v>-</v>
      </c>
      <c r="H71" s="118" t="str">
        <f t="shared" si="6"/>
        <v>-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</row>
    <row r="72" spans="1:21" ht="15" customHeight="1">
      <c r="A72" s="53"/>
      <c r="B72" s="68" t="s">
        <v>129</v>
      </c>
      <c r="C72" s="89" t="s">
        <v>307</v>
      </c>
      <c r="D72" s="81">
        <v>0</v>
      </c>
      <c r="E72" s="81">
        <v>0</v>
      </c>
      <c r="F72" s="81">
        <v>0</v>
      </c>
      <c r="G72" s="118" t="str">
        <f t="shared" si="5"/>
        <v>-</v>
      </c>
      <c r="H72" s="118" t="str">
        <f t="shared" si="6"/>
        <v>-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</row>
    <row r="73" spans="1:21" ht="15" customHeight="1">
      <c r="A73" s="53"/>
      <c r="B73" s="68" t="s">
        <v>130</v>
      </c>
      <c r="C73" s="89" t="s">
        <v>263</v>
      </c>
      <c r="D73" s="81">
        <v>0</v>
      </c>
      <c r="E73" s="81">
        <v>0</v>
      </c>
      <c r="F73" s="81">
        <v>0</v>
      </c>
      <c r="G73" s="118" t="str">
        <f t="shared" si="5"/>
        <v>-</v>
      </c>
      <c r="H73" s="118" t="str">
        <f t="shared" si="6"/>
        <v>-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</row>
    <row r="74" spans="1:21" ht="15" customHeight="1">
      <c r="A74" s="53" t="s">
        <v>154</v>
      </c>
      <c r="B74" s="28">
        <v>4310</v>
      </c>
      <c r="C74" s="89" t="s">
        <v>217</v>
      </c>
      <c r="D74" s="81">
        <v>97900000</v>
      </c>
      <c r="E74" s="81">
        <v>17851816</v>
      </c>
      <c r="F74" s="81">
        <f aca="true" t="shared" si="7" ref="F74:F79">SUM(I74:U74)</f>
        <v>35778578</v>
      </c>
      <c r="G74" s="118">
        <f t="shared" si="5"/>
        <v>36.54604494382023</v>
      </c>
      <c r="H74" s="118">
        <f t="shared" si="6"/>
        <v>18.234745658835546</v>
      </c>
      <c r="I74" s="50">
        <v>0</v>
      </c>
      <c r="J74" s="50">
        <v>26221040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5000000</v>
      </c>
      <c r="Q74" s="50">
        <v>0</v>
      </c>
      <c r="R74" s="50">
        <v>0</v>
      </c>
      <c r="S74" s="50">
        <v>0</v>
      </c>
      <c r="T74" s="50">
        <v>4557538</v>
      </c>
      <c r="U74" s="50">
        <v>0</v>
      </c>
    </row>
    <row r="75" spans="1:21" ht="15" customHeight="1">
      <c r="A75" s="53" t="s">
        <v>182</v>
      </c>
      <c r="B75" s="28">
        <v>4311</v>
      </c>
      <c r="C75" s="89" t="s">
        <v>170</v>
      </c>
      <c r="D75" s="81">
        <v>621500000</v>
      </c>
      <c r="E75" s="81">
        <v>6988653</v>
      </c>
      <c r="F75" s="81">
        <f t="shared" si="7"/>
        <v>422300000</v>
      </c>
      <c r="G75" s="118">
        <f t="shared" si="5"/>
        <v>67.94851166532582</v>
      </c>
      <c r="H75" s="118">
        <f t="shared" si="6"/>
        <v>1.1244815768302494</v>
      </c>
      <c r="I75" s="50">
        <v>0</v>
      </c>
      <c r="J75" s="50">
        <v>0</v>
      </c>
      <c r="K75" s="50">
        <v>417300000</v>
      </c>
      <c r="L75" s="50">
        <v>0</v>
      </c>
      <c r="M75" s="50">
        <v>0</v>
      </c>
      <c r="N75" s="50">
        <v>5000000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</row>
    <row r="76" spans="1:21" ht="15" customHeight="1">
      <c r="A76" s="53" t="s">
        <v>183</v>
      </c>
      <c r="B76" s="28">
        <v>4313</v>
      </c>
      <c r="C76" s="89" t="s">
        <v>300</v>
      </c>
      <c r="D76" s="81">
        <v>0</v>
      </c>
      <c r="E76" s="81">
        <v>10693524</v>
      </c>
      <c r="F76" s="81">
        <f t="shared" si="7"/>
        <v>20700000</v>
      </c>
      <c r="G76" s="118" t="str">
        <f t="shared" si="5"/>
        <v>-</v>
      </c>
      <c r="H76" s="118" t="str">
        <f t="shared" si="6"/>
        <v>-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20700000</v>
      </c>
      <c r="R76" s="50">
        <v>0</v>
      </c>
      <c r="S76" s="50">
        <v>0</v>
      </c>
      <c r="T76" s="50">
        <v>0</v>
      </c>
      <c r="U76" s="50">
        <v>0</v>
      </c>
    </row>
    <row r="77" spans="1:21" ht="15" customHeight="1">
      <c r="A77" s="53" t="s">
        <v>184</v>
      </c>
      <c r="B77" s="28">
        <v>4314</v>
      </c>
      <c r="C77" s="89" t="s">
        <v>304</v>
      </c>
      <c r="D77" s="81">
        <v>0</v>
      </c>
      <c r="E77" s="81">
        <v>12538000</v>
      </c>
      <c r="F77" s="81">
        <f t="shared" si="7"/>
        <v>16000000</v>
      </c>
      <c r="G77" s="118" t="str">
        <f t="shared" si="5"/>
        <v>-</v>
      </c>
      <c r="H77" s="118" t="str">
        <f t="shared" si="6"/>
        <v>-</v>
      </c>
      <c r="I77" s="50">
        <v>0</v>
      </c>
      <c r="J77" s="50">
        <v>0</v>
      </c>
      <c r="K77" s="50">
        <v>0</v>
      </c>
      <c r="L77" s="50">
        <v>0</v>
      </c>
      <c r="M77" s="50">
        <v>16000000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</row>
    <row r="78" spans="1:21" ht="15" customHeight="1">
      <c r="A78" s="53" t="s">
        <v>302</v>
      </c>
      <c r="B78" s="28">
        <v>4306</v>
      </c>
      <c r="C78" s="89" t="s">
        <v>171</v>
      </c>
      <c r="D78" s="81">
        <v>0</v>
      </c>
      <c r="E78" s="81"/>
      <c r="F78" s="81">
        <f t="shared" si="7"/>
        <v>0</v>
      </c>
      <c r="G78" s="118" t="str">
        <f t="shared" si="5"/>
        <v>-</v>
      </c>
      <c r="H78" s="118" t="str">
        <f t="shared" si="6"/>
        <v>-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</row>
    <row r="79" spans="1:21" ht="15" customHeight="1">
      <c r="A79" s="53" t="s">
        <v>303</v>
      </c>
      <c r="B79" s="28">
        <v>4303</v>
      </c>
      <c r="C79" s="89" t="s">
        <v>301</v>
      </c>
      <c r="D79" s="81">
        <v>497886715</v>
      </c>
      <c r="E79" s="81">
        <v>191205967</v>
      </c>
      <c r="F79" s="81">
        <f t="shared" si="7"/>
        <v>411991715</v>
      </c>
      <c r="G79" s="118">
        <f t="shared" si="5"/>
        <v>82.74808356756415</v>
      </c>
      <c r="H79" s="118">
        <f t="shared" si="6"/>
        <v>38.403508516992666</v>
      </c>
      <c r="I79" s="50">
        <v>0</v>
      </c>
      <c r="J79" s="50">
        <v>20000000</v>
      </c>
      <c r="K79" s="50">
        <v>0</v>
      </c>
      <c r="L79" s="50">
        <v>0</v>
      </c>
      <c r="M79" s="50">
        <v>40000000</v>
      </c>
      <c r="N79" s="50">
        <v>122800000</v>
      </c>
      <c r="O79" s="50">
        <v>47822000</v>
      </c>
      <c r="P79" s="50">
        <v>52084715</v>
      </c>
      <c r="Q79" s="50">
        <v>83285000</v>
      </c>
      <c r="R79" s="50">
        <v>0</v>
      </c>
      <c r="S79" s="50">
        <v>46000000</v>
      </c>
      <c r="T79" s="50">
        <v>0</v>
      </c>
      <c r="U79" s="50">
        <v>0</v>
      </c>
    </row>
    <row r="80" spans="1:21" ht="21" customHeight="1" thickBot="1">
      <c r="A80" s="56"/>
      <c r="B80" s="69"/>
      <c r="C80" s="90" t="s">
        <v>37</v>
      </c>
      <c r="D80" s="82">
        <f>+D3+D35+D57+D68</f>
        <v>7073838107</v>
      </c>
      <c r="E80" s="82">
        <f>+E3+E35+E57+E68</f>
        <v>3663855921</v>
      </c>
      <c r="F80" s="82">
        <f>+F3+F35+F57+F68</f>
        <v>6906096275</v>
      </c>
      <c r="G80" s="119">
        <f t="shared" si="5"/>
        <v>97.6287012868727</v>
      </c>
      <c r="H80" s="119">
        <f t="shared" si="6"/>
        <v>51.794455366095924</v>
      </c>
      <c r="I80" s="49">
        <v>762368000</v>
      </c>
      <c r="J80" s="49">
        <v>182421040</v>
      </c>
      <c r="K80" s="49">
        <v>2614200000</v>
      </c>
      <c r="L80" s="49">
        <v>132033000</v>
      </c>
      <c r="M80" s="49">
        <v>300440000</v>
      </c>
      <c r="N80" s="49">
        <v>534274764</v>
      </c>
      <c r="O80" s="49">
        <v>723661170</v>
      </c>
      <c r="P80" s="49">
        <v>426275470</v>
      </c>
      <c r="Q80" s="49">
        <v>375929400</v>
      </c>
      <c r="R80" s="49">
        <v>153415030</v>
      </c>
      <c r="S80" s="49">
        <v>99426000</v>
      </c>
      <c r="T80" s="49">
        <v>43800000</v>
      </c>
      <c r="U80" s="49">
        <v>557852401</v>
      </c>
    </row>
    <row r="81" spans="1:21" ht="22.5" customHeight="1" thickBot="1">
      <c r="A81" s="60"/>
      <c r="B81" s="70"/>
      <c r="C81" s="35" t="s">
        <v>180</v>
      </c>
      <c r="D81" s="83">
        <f>+'PRIHODKI 2004'!D86-'ODHODKI 2004'!D80</f>
        <v>-41647107</v>
      </c>
      <c r="E81" s="83">
        <f>+'PRIHODKI 2004'!E86-'ODHODKI 2004'!E80</f>
        <v>492215202</v>
      </c>
      <c r="F81" s="83">
        <f>+'PRIHODKI 2004'!F86-'ODHODKI 2004'!F80</f>
        <v>-54389011</v>
      </c>
      <c r="G81" s="119"/>
      <c r="H81" s="119"/>
      <c r="I81" s="63"/>
      <c r="J81" s="63"/>
      <c r="K81" s="63"/>
      <c r="L81" s="62"/>
      <c r="M81" s="63"/>
      <c r="N81" s="61" t="s">
        <v>35</v>
      </c>
      <c r="O81" s="63"/>
      <c r="P81" s="63"/>
      <c r="Q81" s="63"/>
      <c r="R81" s="63"/>
      <c r="S81" s="63"/>
      <c r="T81" s="63"/>
      <c r="U81" s="63"/>
    </row>
    <row r="82" spans="4:20" ht="15" customHeight="1">
      <c r="D82" s="6">
        <f>+D3+D35+D57+D68</f>
        <v>7073838107</v>
      </c>
      <c r="E82" s="6">
        <f>+E3+E35+E57+E68</f>
        <v>3663855921</v>
      </c>
      <c r="F82" s="6">
        <f>+F3+F35+F57+F68</f>
        <v>6906096275</v>
      </c>
      <c r="G82" s="120"/>
      <c r="H82" s="120"/>
      <c r="T82" s="4" t="s">
        <v>35</v>
      </c>
    </row>
    <row r="83" spans="2:8" ht="15" customHeight="1">
      <c r="B83" s="71" t="s">
        <v>169</v>
      </c>
      <c r="D83" s="6">
        <f>+D5+D6+D7+D8+D9+D10+D11+D13+D14+D15+D16+D17+D19+D20+D21+D22+D23+D24+D25+D26+D27+D28+D30+D31+D33+D34+D37+D40+D44+D45+D47+D49+D50+D51+D53+D59+D60+D61+D62+D63+D64+D65+D66+D67+D70+D71+D74+D75+D76+D77+D78+D79</f>
        <v>7073838107</v>
      </c>
      <c r="E83" s="6">
        <f>+E5+E6+E7+E8+E9+E10+E11+E13+E14+E15+E16+E17+E19+E20+E21+E22+E23+E24+E25+E26+E27+E28+E30+E31+E33+E34+E37+E40+E44+E45+E47+E49+E50+E51+E53+E59+E60+E61+E62+E63+E64+E65+E66+E67+E70+E71+E74+E75+E76+E77+E78+E79</f>
        <v>3663855921</v>
      </c>
      <c r="F83" s="6">
        <f>+F5+F6+F7+F8+F9+F10+F11+F13+F14+F15+F16+F17+F19+F20+F21+F22+F23+F24+F25+F26+F27+F28+F30+F31+F33+F34+F37+F40+F44+F45+F47+F49+F50+F51+F53+F59+F60+F61+F62+F63+F64+F65+F66+F67+F70+F71+F74+F75+F76+F77+F78+F79</f>
        <v>6906096275</v>
      </c>
      <c r="G83" s="120"/>
      <c r="H83" s="120"/>
    </row>
    <row r="84" spans="4:8" ht="15" customHeight="1">
      <c r="D84" s="6"/>
      <c r="F84" s="6">
        <f>SUM(I80:U80)</f>
        <v>6906096275</v>
      </c>
      <c r="G84" s="120"/>
      <c r="H84" s="120"/>
    </row>
  </sheetData>
  <mergeCells count="2">
    <mergeCell ref="I1:M1"/>
    <mergeCell ref="N1:Q1"/>
  </mergeCells>
  <printOptions/>
  <pageMargins left="0.19" right="0.17" top="0.4330708661417323" bottom="0.94" header="0.4330708661417323" footer="0.2755905511811024"/>
  <pageSetup firstPageNumber="6" useFirstPageNumber="1" horizontalDpi="360" verticalDpi="360" orientation="portrait" paperSize="9" scale="95" r:id="rId1"/>
  <headerFooter alignWithMargins="0">
    <oddHeader>&amp;C&amp;"Arial CE,Bold"&amp;11
</oddHeader>
    <oddFooter>&amp;C&amp;P</oddFooter>
  </headerFooter>
  <rowBreaks count="1" manualBreakCount="1">
    <brk id="4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2.75"/>
  <cols>
    <col min="1" max="1" width="7.625" style="0" bestFit="1" customWidth="1"/>
    <col min="2" max="2" width="59.875" style="0" customWidth="1"/>
    <col min="3" max="3" width="14.75390625" style="103" customWidth="1"/>
    <col min="4" max="4" width="13.25390625" style="103" customWidth="1"/>
    <col min="5" max="5" width="14.75390625" style="103" customWidth="1"/>
  </cols>
  <sheetData>
    <row r="1" spans="1:5" ht="15" thickBot="1">
      <c r="A1" s="29"/>
      <c r="B1" s="5"/>
      <c r="C1" s="27" t="s">
        <v>128</v>
      </c>
      <c r="D1" s="27" t="s">
        <v>128</v>
      </c>
      <c r="E1" s="27" t="s">
        <v>128</v>
      </c>
    </row>
    <row r="2" spans="1:5" ht="26.25" thickBot="1">
      <c r="A2" s="57" t="s">
        <v>85</v>
      </c>
      <c r="B2" s="15" t="s">
        <v>181</v>
      </c>
      <c r="C2" s="106" t="s">
        <v>292</v>
      </c>
      <c r="D2" s="106" t="s">
        <v>294</v>
      </c>
      <c r="E2" s="106" t="s">
        <v>293</v>
      </c>
    </row>
    <row r="3" spans="1:5" ht="29.25" customHeight="1">
      <c r="A3" s="36"/>
      <c r="B3" s="78" t="s">
        <v>139</v>
      </c>
      <c r="C3" s="37"/>
      <c r="D3" s="37"/>
      <c r="E3" s="37"/>
    </row>
    <row r="4" spans="1:5" ht="15">
      <c r="A4" s="59">
        <v>750</v>
      </c>
      <c r="B4" s="9" t="s">
        <v>140</v>
      </c>
      <c r="C4" s="11"/>
      <c r="D4" s="11"/>
      <c r="E4" s="11"/>
    </row>
    <row r="5" spans="1:5" ht="14.25">
      <c r="A5" s="58">
        <v>7500</v>
      </c>
      <c r="B5" s="11" t="s">
        <v>291</v>
      </c>
      <c r="C5" s="22">
        <v>200000</v>
      </c>
      <c r="D5" s="22"/>
      <c r="E5" s="22">
        <v>200000</v>
      </c>
    </row>
    <row r="6" spans="1:5" ht="14.25">
      <c r="A6" s="58">
        <v>7502</v>
      </c>
      <c r="B6" s="11" t="s">
        <v>251</v>
      </c>
      <c r="C6" s="22">
        <v>11500000</v>
      </c>
      <c r="D6" s="22">
        <v>5760290</v>
      </c>
      <c r="E6" s="22">
        <v>11500000</v>
      </c>
    </row>
    <row r="7" spans="1:5" ht="14.25">
      <c r="A7" s="58">
        <v>7504</v>
      </c>
      <c r="B7" s="11" t="s">
        <v>287</v>
      </c>
      <c r="C7" s="22">
        <v>3900000</v>
      </c>
      <c r="D7" s="22">
        <v>2969219</v>
      </c>
      <c r="E7" s="22">
        <v>3900000</v>
      </c>
    </row>
    <row r="8" spans="1:5" ht="15">
      <c r="A8" s="59">
        <v>751</v>
      </c>
      <c r="B8" s="9" t="s">
        <v>250</v>
      </c>
      <c r="C8" s="11"/>
      <c r="D8" s="11"/>
      <c r="E8" s="11"/>
    </row>
    <row r="9" spans="1:5" ht="14.25">
      <c r="A9" s="58">
        <v>7513</v>
      </c>
      <c r="B9" s="11" t="s">
        <v>310</v>
      </c>
      <c r="C9" s="22">
        <v>26000000</v>
      </c>
      <c r="D9" s="22">
        <v>38262768</v>
      </c>
      <c r="E9" s="22">
        <f>38262768+479136</f>
        <v>38741904</v>
      </c>
    </row>
    <row r="10" spans="1:5" ht="15">
      <c r="A10" s="59">
        <v>752</v>
      </c>
      <c r="B10" s="9" t="s">
        <v>172</v>
      </c>
      <c r="C10" s="11"/>
      <c r="D10" s="11"/>
      <c r="E10" s="11"/>
    </row>
    <row r="11" spans="1:5" ht="14.25">
      <c r="A11" s="58">
        <v>7520</v>
      </c>
      <c r="B11" s="11" t="s">
        <v>218</v>
      </c>
      <c r="C11" s="22">
        <v>22800000</v>
      </c>
      <c r="D11" s="22">
        <v>18302830</v>
      </c>
      <c r="E11" s="22">
        <v>22800000</v>
      </c>
    </row>
    <row r="12" spans="1:5" ht="14.25">
      <c r="A12" s="58"/>
      <c r="B12" s="11"/>
      <c r="C12" s="22"/>
      <c r="D12" s="22"/>
      <c r="E12" s="22"/>
    </row>
    <row r="13" spans="1:5" ht="15">
      <c r="A13" s="13"/>
      <c r="B13" s="8" t="s">
        <v>219</v>
      </c>
      <c r="C13" s="11"/>
      <c r="D13" s="22"/>
      <c r="E13" s="11"/>
    </row>
    <row r="14" spans="1:5" ht="15">
      <c r="A14" s="59">
        <v>440</v>
      </c>
      <c r="B14" s="9" t="s">
        <v>165</v>
      </c>
      <c r="C14" s="11"/>
      <c r="D14" s="11"/>
      <c r="E14" s="11"/>
    </row>
    <row r="15" spans="1:5" ht="14.25">
      <c r="A15" s="58">
        <v>4402</v>
      </c>
      <c r="B15" s="11" t="s">
        <v>166</v>
      </c>
      <c r="C15" s="22">
        <v>0</v>
      </c>
      <c r="D15" s="22"/>
      <c r="E15" s="22">
        <v>0</v>
      </c>
    </row>
    <row r="16" spans="1:5" ht="14.25">
      <c r="A16" s="58">
        <v>4404</v>
      </c>
      <c r="B16" s="11" t="s">
        <v>228</v>
      </c>
      <c r="C16" s="22">
        <v>0</v>
      </c>
      <c r="D16" s="22"/>
      <c r="E16" s="22">
        <v>0</v>
      </c>
    </row>
    <row r="17" spans="1:5" ht="15">
      <c r="A17" s="59">
        <v>441</v>
      </c>
      <c r="B17" s="9" t="s">
        <v>141</v>
      </c>
      <c r="C17" s="11"/>
      <c r="D17" s="11"/>
      <c r="E17" s="11"/>
    </row>
    <row r="18" spans="1:5" ht="14.25">
      <c r="A18" s="58">
        <v>4410</v>
      </c>
      <c r="B18" s="11" t="s">
        <v>167</v>
      </c>
      <c r="C18" s="22">
        <v>0</v>
      </c>
      <c r="D18" s="22">
        <v>0</v>
      </c>
      <c r="E18" s="22">
        <v>0</v>
      </c>
    </row>
    <row r="19" spans="1:5" ht="14.25">
      <c r="A19" s="58">
        <v>4412</v>
      </c>
      <c r="B19" s="11" t="s">
        <v>168</v>
      </c>
      <c r="C19" s="22">
        <v>0</v>
      </c>
      <c r="D19" s="22">
        <v>0</v>
      </c>
      <c r="E19" s="22">
        <v>0</v>
      </c>
    </row>
    <row r="20" spans="1:5" ht="14.25">
      <c r="A20" s="58">
        <v>4415</v>
      </c>
      <c r="B20" s="11" t="s">
        <v>192</v>
      </c>
      <c r="C20" s="22">
        <v>0</v>
      </c>
      <c r="D20" s="22">
        <v>0</v>
      </c>
      <c r="E20" s="22">
        <v>0</v>
      </c>
    </row>
    <row r="21" spans="1:5" ht="15">
      <c r="A21" s="59">
        <v>443</v>
      </c>
      <c r="B21" s="23" t="s">
        <v>258</v>
      </c>
      <c r="C21" s="22"/>
      <c r="D21" s="22"/>
      <c r="E21" s="22"/>
    </row>
    <row r="22" spans="1:5" ht="14.25">
      <c r="A22" s="58">
        <v>4430</v>
      </c>
      <c r="B22" s="11" t="s">
        <v>259</v>
      </c>
      <c r="C22" s="22"/>
      <c r="D22" s="22"/>
      <c r="E22" s="22"/>
    </row>
    <row r="23" spans="1:5" ht="14.25">
      <c r="A23" s="58">
        <v>443000</v>
      </c>
      <c r="B23" s="11" t="s">
        <v>260</v>
      </c>
      <c r="C23" s="22"/>
      <c r="D23" s="22"/>
      <c r="E23" s="22"/>
    </row>
    <row r="24" spans="1:5" ht="14.25">
      <c r="A24" s="58"/>
      <c r="B24" s="11" t="s">
        <v>261</v>
      </c>
      <c r="C24" s="22">
        <v>95000000</v>
      </c>
      <c r="D24" s="22">
        <v>47500000</v>
      </c>
      <c r="E24" s="22">
        <v>95000000</v>
      </c>
    </row>
    <row r="25" spans="1:5" ht="14.25">
      <c r="A25" s="58"/>
      <c r="B25" s="11" t="s">
        <v>262</v>
      </c>
      <c r="C25" s="22">
        <v>25000000</v>
      </c>
      <c r="D25" s="22"/>
      <c r="E25" s="22">
        <v>25000000</v>
      </c>
    </row>
    <row r="26" spans="1:5" ht="15.75" thickBot="1">
      <c r="A26" s="14"/>
      <c r="B26" s="38" t="s">
        <v>142</v>
      </c>
      <c r="C26" s="46">
        <f>+C5+C6+C7+C9+C11-C15-C16-C18-C19-C20-C24-C25</f>
        <v>-55600000</v>
      </c>
      <c r="D26" s="46">
        <f>+D5+D6+D7+D9+D11-D15-D16-D18-D19-D20-D24-D25-D22</f>
        <v>17795107</v>
      </c>
      <c r="E26" s="46">
        <f>+E5+E6+E7+E9+E11-E15-E16-E18-E19-E20-E24-E25</f>
        <v>-42858096</v>
      </c>
    </row>
    <row r="27" spans="2:5" ht="15">
      <c r="B27" s="39"/>
      <c r="C27" s="40"/>
      <c r="D27" s="40"/>
      <c r="E27" s="40"/>
    </row>
    <row r="28" spans="2:5" ht="15">
      <c r="B28" s="39"/>
      <c r="C28" s="40"/>
      <c r="D28" s="40"/>
      <c r="E28" s="40"/>
    </row>
    <row r="29" spans="2:5" ht="15" thickBot="1">
      <c r="B29" s="5"/>
      <c r="C29" s="27"/>
      <c r="D29" s="27"/>
      <c r="E29" s="27"/>
    </row>
    <row r="30" spans="1:5" ht="26.25" thickBot="1">
      <c r="A30" s="57" t="s">
        <v>85</v>
      </c>
      <c r="B30" s="15" t="s">
        <v>143</v>
      </c>
      <c r="C30" s="106" t="s">
        <v>292</v>
      </c>
      <c r="D30" s="106" t="s">
        <v>294</v>
      </c>
      <c r="E30" s="106" t="s">
        <v>293</v>
      </c>
    </row>
    <row r="31" spans="1:5" ht="15">
      <c r="A31" s="36"/>
      <c r="B31" s="41" t="s">
        <v>144</v>
      </c>
      <c r="C31" s="42"/>
      <c r="D31" s="42"/>
      <c r="E31" s="42"/>
    </row>
    <row r="32" spans="1:5" ht="15">
      <c r="A32" s="13"/>
      <c r="B32" s="8" t="s">
        <v>145</v>
      </c>
      <c r="C32" s="22"/>
      <c r="D32" s="22"/>
      <c r="E32" s="22"/>
    </row>
    <row r="33" spans="1:5" ht="15">
      <c r="A33" s="13"/>
      <c r="B33" s="8" t="s">
        <v>146</v>
      </c>
      <c r="C33" s="22"/>
      <c r="D33" s="22"/>
      <c r="E33" s="22"/>
    </row>
    <row r="34" spans="1:5" ht="30.75" customHeight="1">
      <c r="A34" s="13"/>
      <c r="B34" s="43" t="s">
        <v>220</v>
      </c>
      <c r="C34" s="19">
        <f>+'ODHODKI 2004'!D81+C26+C33</f>
        <v>-97247107</v>
      </c>
      <c r="D34" s="19">
        <f>+'ODHODKI 2004'!E81+D26+D33</f>
        <v>510010309</v>
      </c>
      <c r="E34" s="19">
        <f>+'ODHODKI 2004'!F81+E26+E33</f>
        <v>-97247107</v>
      </c>
    </row>
    <row r="35" spans="1:5" ht="15">
      <c r="A35" s="13"/>
      <c r="B35" s="44" t="s">
        <v>221</v>
      </c>
      <c r="C35" s="19">
        <f>SUM(C36:C36)</f>
        <v>97247107</v>
      </c>
      <c r="D35" s="19">
        <f>SUM(D36:D36)</f>
        <v>97247107</v>
      </c>
      <c r="E35" s="19">
        <f>SUM(E36:E36)</f>
        <v>97247107</v>
      </c>
    </row>
    <row r="36" spans="1:5" ht="14.25">
      <c r="A36" s="13"/>
      <c r="B36" s="11" t="s">
        <v>285</v>
      </c>
      <c r="C36" s="22">
        <v>97247107</v>
      </c>
      <c r="D36" s="22">
        <v>97247107</v>
      </c>
      <c r="E36" s="22">
        <v>97247107</v>
      </c>
    </row>
    <row r="37" spans="1:5" ht="15.75" thickBot="1">
      <c r="A37" s="14"/>
      <c r="B37" s="45" t="s">
        <v>147</v>
      </c>
      <c r="C37" s="46">
        <f>+C34+C35</f>
        <v>0</v>
      </c>
      <c r="D37" s="46">
        <f>+D34+D35</f>
        <v>607257416</v>
      </c>
      <c r="E37" s="46">
        <f>+E34+E35</f>
        <v>0</v>
      </c>
    </row>
    <row r="38" spans="3:5" ht="15">
      <c r="C38" s="104"/>
      <c r="D38" s="104"/>
      <c r="E38" s="104"/>
    </row>
  </sheetData>
  <printOptions/>
  <pageMargins left="0.6" right="0.75" top="0.984251968503937" bottom="0.984251968503937" header="0.22" footer="0"/>
  <pageSetup firstPageNumber="5" useFirstPageNumber="1" horizontalDpi="360" verticalDpi="36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gabrijel</cp:lastModifiedBy>
  <cp:lastPrinted>2004-10-13T11:36:09Z</cp:lastPrinted>
  <dcterms:created xsi:type="dcterms:W3CDTF">1999-04-13T10:37:05Z</dcterms:created>
  <dcterms:modified xsi:type="dcterms:W3CDTF">2002-07-02T08:41:16Z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